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4780" windowHeight="89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9" i="1" l="1"/>
  <c r="F429" i="1"/>
  <c r="G428" i="1"/>
  <c r="F427" i="1"/>
  <c r="G426" i="1"/>
  <c r="G425" i="1"/>
  <c r="G424" i="1"/>
  <c r="F424" i="1"/>
  <c r="G421" i="1"/>
  <c r="F421" i="1"/>
  <c r="G420" i="1"/>
  <c r="F420" i="1"/>
  <c r="G419" i="1"/>
  <c r="F419" i="1"/>
  <c r="G418" i="1"/>
  <c r="G417" i="1"/>
  <c r="G416" i="1"/>
  <c r="F416" i="1"/>
  <c r="G415" i="1"/>
  <c r="F415" i="1"/>
  <c r="G414" i="1"/>
  <c r="F414" i="1"/>
  <c r="G413" i="1"/>
  <c r="F413" i="1"/>
  <c r="G412" i="1"/>
  <c r="G411" i="1"/>
  <c r="F411" i="1"/>
  <c r="G410" i="1"/>
  <c r="F410" i="1"/>
  <c r="G409" i="1"/>
  <c r="G408" i="1"/>
  <c r="F408" i="1"/>
  <c r="G407" i="1"/>
  <c r="G406" i="1"/>
  <c r="F406" i="1"/>
  <c r="G405" i="1"/>
  <c r="G404" i="1"/>
  <c r="G403" i="1"/>
  <c r="G402" i="1"/>
  <c r="G401" i="1"/>
  <c r="G400" i="1"/>
  <c r="G399" i="1"/>
  <c r="G398" i="1"/>
  <c r="F398" i="1"/>
  <c r="F397" i="1"/>
  <c r="G396" i="1"/>
  <c r="G395" i="1"/>
  <c r="G394" i="1"/>
  <c r="F394" i="1"/>
  <c r="G393" i="1"/>
  <c r="F393" i="1"/>
  <c r="G392" i="1"/>
  <c r="F392" i="1"/>
  <c r="G391" i="1"/>
  <c r="F391" i="1"/>
  <c r="G390" i="1"/>
  <c r="F390" i="1"/>
  <c r="G389" i="1"/>
  <c r="G388" i="1"/>
  <c r="F388" i="1"/>
  <c r="G387" i="1"/>
  <c r="F387" i="1"/>
  <c r="G386" i="1"/>
  <c r="F386" i="1"/>
  <c r="G385" i="1"/>
  <c r="F385" i="1"/>
  <c r="G384" i="1"/>
  <c r="F384" i="1"/>
  <c r="G383" i="1"/>
  <c r="F383" i="1"/>
  <c r="G382" i="1"/>
  <c r="F382" i="1"/>
  <c r="G381" i="1"/>
  <c r="F381" i="1"/>
  <c r="G380" i="1"/>
  <c r="F380" i="1"/>
  <c r="G379" i="1"/>
  <c r="F379" i="1"/>
  <c r="G378" i="1"/>
  <c r="F378" i="1"/>
  <c r="G377" i="1"/>
  <c r="F377" i="1"/>
  <c r="G376" i="1"/>
  <c r="F376" i="1"/>
  <c r="G375" i="1"/>
  <c r="F375" i="1"/>
  <c r="G374" i="1"/>
  <c r="F374" i="1"/>
  <c r="G373" i="1"/>
  <c r="F373" i="1"/>
  <c r="G372" i="1"/>
  <c r="F372" i="1"/>
  <c r="G371" i="1"/>
  <c r="F371" i="1"/>
  <c r="G370" i="1"/>
  <c r="F370" i="1"/>
  <c r="G369" i="1"/>
  <c r="G368" i="1"/>
  <c r="F368" i="1"/>
  <c r="G367" i="1"/>
  <c r="F367" i="1"/>
  <c r="G366" i="1"/>
  <c r="F366" i="1"/>
  <c r="G365" i="1"/>
  <c r="F365" i="1"/>
  <c r="G364" i="1"/>
  <c r="F364" i="1"/>
  <c r="G363" i="1"/>
  <c r="F363" i="1"/>
  <c r="G362" i="1"/>
  <c r="G361" i="1"/>
  <c r="F361" i="1"/>
  <c r="G360" i="1"/>
  <c r="F360" i="1"/>
  <c r="G359" i="1"/>
  <c r="F359" i="1"/>
  <c r="G358" i="1"/>
  <c r="F358" i="1"/>
  <c r="G357" i="1"/>
  <c r="F357" i="1"/>
  <c r="G356" i="1"/>
  <c r="F356" i="1"/>
  <c r="G355" i="1"/>
  <c r="F355" i="1"/>
  <c r="G354" i="1"/>
  <c r="F354" i="1"/>
  <c r="G353" i="1"/>
  <c r="F353" i="1"/>
  <c r="G352" i="1"/>
  <c r="G351" i="1"/>
  <c r="G349" i="1"/>
  <c r="F348" i="1"/>
  <c r="G347" i="1"/>
  <c r="G346" i="1"/>
  <c r="G345" i="1"/>
  <c r="F345" i="1"/>
  <c r="G342" i="1"/>
  <c r="G341" i="1"/>
  <c r="G340" i="1"/>
  <c r="G339" i="1"/>
  <c r="G338" i="1"/>
  <c r="G337" i="1"/>
  <c r="G336" i="1"/>
  <c r="F336" i="1"/>
  <c r="G335" i="1"/>
  <c r="F335" i="1"/>
  <c r="G334" i="1"/>
  <c r="F334" i="1"/>
  <c r="G333" i="1"/>
  <c r="G332" i="1"/>
  <c r="F332" i="1"/>
  <c r="G331" i="1"/>
  <c r="G329" i="1"/>
  <c r="G328" i="1"/>
  <c r="G327" i="1"/>
  <c r="F327" i="1"/>
  <c r="G326" i="1"/>
  <c r="F326" i="1"/>
  <c r="F325" i="1"/>
  <c r="G324" i="1"/>
  <c r="G323" i="1"/>
  <c r="F323" i="1"/>
  <c r="G322" i="1"/>
  <c r="F322" i="1"/>
  <c r="G321" i="1"/>
  <c r="G320" i="1"/>
  <c r="G319" i="1"/>
  <c r="F319" i="1"/>
  <c r="G318" i="1"/>
  <c r="F318" i="1"/>
  <c r="G317" i="1"/>
  <c r="F317" i="1"/>
  <c r="G316" i="1"/>
  <c r="G315" i="1"/>
  <c r="G313" i="1"/>
  <c r="G312" i="1"/>
  <c r="G311" i="1"/>
  <c r="F311" i="1"/>
  <c r="G310" i="1"/>
  <c r="F310" i="1"/>
  <c r="G309" i="1"/>
  <c r="F309" i="1"/>
  <c r="G308" i="1"/>
  <c r="F308" i="1"/>
  <c r="G307" i="1"/>
  <c r="F307" i="1"/>
  <c r="G306" i="1"/>
  <c r="F306" i="1"/>
  <c r="G305" i="1"/>
  <c r="F304" i="1"/>
  <c r="G302" i="1"/>
  <c r="F302" i="1"/>
  <c r="G301" i="1"/>
  <c r="G300" i="1"/>
  <c r="G299" i="1"/>
  <c r="F299" i="1"/>
  <c r="G298" i="1"/>
  <c r="F298" i="1"/>
  <c r="G297" i="1"/>
  <c r="G296" i="1"/>
  <c r="G295" i="1"/>
  <c r="F295" i="1"/>
  <c r="G294" i="1"/>
  <c r="F294" i="1"/>
  <c r="G293" i="1"/>
  <c r="F293" i="1"/>
  <c r="G292" i="1"/>
  <c r="F292" i="1"/>
  <c r="G291" i="1"/>
  <c r="F291" i="1"/>
  <c r="G290" i="1"/>
  <c r="F290" i="1"/>
  <c r="G289" i="1"/>
  <c r="F289" i="1"/>
  <c r="G288" i="1"/>
  <c r="F288" i="1"/>
  <c r="G287" i="1"/>
  <c r="G286" i="1"/>
  <c r="G285" i="1"/>
  <c r="F285" i="1"/>
  <c r="G283" i="1"/>
  <c r="F283" i="1"/>
  <c r="F280" i="1"/>
  <c r="G279" i="1"/>
  <c r="G275" i="1"/>
  <c r="F274" i="1"/>
  <c r="G273" i="1"/>
  <c r="G272" i="1"/>
  <c r="G271" i="1"/>
  <c r="G270" i="1"/>
  <c r="G269" i="1"/>
  <c r="G268" i="1"/>
  <c r="F268" i="1"/>
  <c r="G267" i="1"/>
  <c r="G265" i="1"/>
  <c r="F265" i="1"/>
  <c r="G264" i="1"/>
  <c r="F264" i="1"/>
  <c r="G263" i="1"/>
  <c r="F263" i="1"/>
  <c r="G262" i="1"/>
  <c r="F262" i="1"/>
  <c r="G261" i="1"/>
  <c r="F261" i="1"/>
  <c r="G259" i="1"/>
  <c r="G258" i="1"/>
  <c r="G257" i="1"/>
  <c r="F257" i="1"/>
  <c r="G256" i="1"/>
  <c r="F256" i="1"/>
  <c r="G255" i="1"/>
  <c r="F255" i="1"/>
  <c r="G254" i="1"/>
  <c r="F254" i="1"/>
  <c r="G253" i="1"/>
  <c r="F253" i="1"/>
  <c r="G252" i="1"/>
  <c r="F252" i="1"/>
  <c r="G251" i="1"/>
  <c r="F251" i="1"/>
  <c r="G250" i="1"/>
  <c r="F250" i="1"/>
  <c r="G249" i="1"/>
  <c r="F249" i="1"/>
  <c r="G248" i="1"/>
  <c r="F248" i="1"/>
  <c r="G247" i="1"/>
  <c r="F247" i="1"/>
  <c r="G246" i="1"/>
  <c r="F246" i="1"/>
  <c r="G245" i="1"/>
  <c r="F245" i="1"/>
  <c r="G244" i="1"/>
  <c r="F244" i="1"/>
  <c r="G243" i="1"/>
  <c r="G242" i="1"/>
  <c r="F242" i="1"/>
  <c r="G241" i="1"/>
  <c r="F241" i="1"/>
  <c r="G240" i="1"/>
  <c r="F240" i="1"/>
  <c r="G239" i="1"/>
  <c r="F239" i="1"/>
  <c r="G238" i="1"/>
  <c r="F238" i="1"/>
  <c r="G237" i="1"/>
  <c r="G236" i="1"/>
  <c r="F236" i="1"/>
  <c r="G235" i="1"/>
  <c r="F235" i="1"/>
  <c r="F234" i="1"/>
  <c r="F233" i="1"/>
  <c r="G232" i="1"/>
  <c r="G231" i="1"/>
  <c r="F231" i="1"/>
  <c r="G230" i="1"/>
  <c r="F230" i="1"/>
  <c r="G229" i="1"/>
  <c r="F229" i="1"/>
  <c r="G228" i="1"/>
  <c r="F228" i="1"/>
  <c r="F227" i="1"/>
  <c r="G226" i="1"/>
  <c r="F226" i="1"/>
  <c r="G225" i="1"/>
  <c r="F225" i="1"/>
  <c r="G224" i="1"/>
  <c r="F224" i="1"/>
  <c r="G223" i="1"/>
  <c r="F223" i="1"/>
  <c r="G222" i="1"/>
  <c r="G220" i="1"/>
  <c r="G219" i="1"/>
  <c r="F219" i="1"/>
  <c r="G218" i="1"/>
  <c r="F218" i="1"/>
  <c r="G216" i="1"/>
  <c r="F216" i="1"/>
  <c r="F215" i="1"/>
  <c r="G213" i="1"/>
  <c r="G212" i="1"/>
  <c r="F212" i="1"/>
  <c r="F210" i="1"/>
  <c r="G209" i="1"/>
  <c r="G208" i="1"/>
  <c r="G207" i="1"/>
  <c r="F207" i="1"/>
  <c r="G206" i="1"/>
  <c r="G205" i="1"/>
  <c r="F205" i="1"/>
  <c r="G202" i="1"/>
  <c r="G201" i="1"/>
  <c r="G200" i="1"/>
  <c r="F200" i="1"/>
  <c r="G199" i="1"/>
  <c r="F199" i="1"/>
  <c r="G198" i="1"/>
  <c r="F197" i="1"/>
  <c r="G196" i="1"/>
  <c r="F196" i="1"/>
  <c r="G195" i="1"/>
  <c r="G194" i="1"/>
  <c r="F194" i="1"/>
  <c r="G193" i="1"/>
  <c r="F193" i="1"/>
  <c r="G192" i="1"/>
  <c r="G191" i="1"/>
  <c r="G190" i="1"/>
  <c r="F190" i="1"/>
  <c r="G189" i="1"/>
  <c r="F189" i="1"/>
  <c r="G188" i="1"/>
  <c r="F188" i="1"/>
  <c r="G187" i="1"/>
  <c r="F187" i="1"/>
  <c r="G186" i="1"/>
  <c r="G185" i="1"/>
  <c r="F185" i="1"/>
  <c r="G184" i="1"/>
  <c r="F184" i="1"/>
  <c r="G183" i="1"/>
  <c r="F183" i="1"/>
  <c r="G182" i="1"/>
  <c r="F182" i="1"/>
  <c r="G181" i="1"/>
  <c r="G180" i="1"/>
  <c r="F180" i="1"/>
  <c r="G179" i="1"/>
  <c r="F179" i="1"/>
  <c r="G178" i="1"/>
  <c r="F178" i="1"/>
  <c r="G177" i="1"/>
  <c r="F177" i="1"/>
  <c r="G176" i="1"/>
  <c r="G175" i="1"/>
  <c r="G174" i="1"/>
  <c r="F174" i="1"/>
  <c r="G173" i="1"/>
  <c r="F173" i="1"/>
  <c r="G172" i="1"/>
  <c r="F172" i="1"/>
  <c r="G171" i="1"/>
  <c r="F171" i="1"/>
  <c r="G170" i="1"/>
  <c r="G168" i="1"/>
  <c r="G167" i="1"/>
  <c r="G166" i="1"/>
  <c r="F166" i="1"/>
  <c r="G165" i="1"/>
  <c r="G164" i="1"/>
  <c r="F164" i="1"/>
  <c r="G163" i="1"/>
  <c r="G162" i="1"/>
  <c r="F161" i="1"/>
  <c r="F160" i="1"/>
  <c r="G159" i="1"/>
  <c r="F159" i="1"/>
  <c r="G158" i="1"/>
  <c r="F158" i="1"/>
  <c r="G157" i="1"/>
  <c r="F157" i="1"/>
  <c r="G156" i="1"/>
  <c r="F156" i="1"/>
  <c r="G155" i="1"/>
  <c r="F155" i="1"/>
  <c r="G154" i="1"/>
  <c r="F154" i="1"/>
  <c r="G153" i="1"/>
  <c r="F153" i="1"/>
  <c r="G152" i="1"/>
  <c r="F152" i="1"/>
  <c r="G151" i="1"/>
  <c r="G150" i="1"/>
  <c r="G149" i="1"/>
  <c r="F149" i="1"/>
  <c r="G148" i="1"/>
  <c r="G147" i="1"/>
  <c r="F147" i="1"/>
  <c r="G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6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G128" i="1"/>
  <c r="F128" i="1"/>
  <c r="G127" i="1"/>
  <c r="F127" i="1"/>
  <c r="G126" i="1"/>
  <c r="F126" i="1"/>
  <c r="G125" i="1"/>
  <c r="F125" i="1"/>
  <c r="G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G116" i="1"/>
  <c r="G115" i="1"/>
  <c r="G114" i="1"/>
  <c r="G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G102" i="1"/>
  <c r="F102" i="1"/>
  <c r="F101" i="1"/>
  <c r="G100" i="1"/>
  <c r="F100" i="1"/>
  <c r="G99" i="1"/>
  <c r="F99" i="1"/>
  <c r="G98" i="1"/>
  <c r="F98" i="1"/>
  <c r="G97" i="1"/>
  <c r="F97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G73" i="1"/>
  <c r="F73" i="1"/>
  <c r="G72" i="1"/>
  <c r="F72" i="1"/>
  <c r="G71" i="1"/>
  <c r="F71" i="1"/>
  <c r="G70" i="1"/>
  <c r="F70" i="1"/>
  <c r="G69" i="1"/>
  <c r="F69" i="1"/>
  <c r="F65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G53" i="1"/>
  <c r="G52" i="1"/>
  <c r="F52" i="1"/>
  <c r="G51" i="1"/>
  <c r="F51" i="1"/>
  <c r="G50" i="1"/>
  <c r="F50" i="1"/>
  <c r="G49" i="1"/>
  <c r="F49" i="1"/>
  <c r="G48" i="1"/>
  <c r="G47" i="1"/>
  <c r="F47" i="1"/>
  <c r="G46" i="1"/>
  <c r="G45" i="1"/>
  <c r="G44" i="1"/>
  <c r="G43" i="1"/>
  <c r="F43" i="1"/>
  <c r="G42" i="1"/>
  <c r="F42" i="1"/>
  <c r="G41" i="1"/>
  <c r="G39" i="1"/>
  <c r="G38" i="1"/>
  <c r="G37" i="1"/>
  <c r="F37" i="1"/>
  <c r="G36" i="1"/>
  <c r="F36" i="1"/>
  <c r="G35" i="1"/>
  <c r="G34" i="1"/>
  <c r="F34" i="1"/>
  <c r="G33" i="1"/>
  <c r="G32" i="1"/>
  <c r="F32" i="1"/>
  <c r="G31" i="1"/>
  <c r="G30" i="1"/>
  <c r="F30" i="1"/>
  <c r="G29" i="1"/>
  <c r="F29" i="1"/>
  <c r="G28" i="1"/>
  <c r="F28" i="1"/>
  <c r="G27" i="1"/>
  <c r="G26" i="1"/>
  <c r="G25" i="1"/>
  <c r="G24" i="1"/>
  <c r="G23" i="1"/>
  <c r="G22" i="1"/>
  <c r="G21" i="1"/>
  <c r="F21" i="1"/>
  <c r="G20" i="1"/>
  <c r="G19" i="1"/>
  <c r="G18" i="1"/>
  <c r="G15" i="1"/>
  <c r="F15" i="1"/>
  <c r="G13" i="1"/>
  <c r="G12" i="1"/>
  <c r="F12" i="1"/>
  <c r="G11" i="1"/>
  <c r="F11" i="1"/>
  <c r="G10" i="1"/>
  <c r="G9" i="1"/>
  <c r="F9" i="1"/>
  <c r="G8" i="1"/>
  <c r="F8" i="1"/>
  <c r="G7" i="1"/>
  <c r="F7" i="1"/>
  <c r="G6" i="1"/>
  <c r="F6" i="1"/>
  <c r="G5" i="1"/>
  <c r="F5" i="1"/>
  <c r="G4" i="1"/>
  <c r="G3" i="1"/>
  <c r="F3" i="1"/>
  <c r="G2" i="1"/>
  <c r="F2" i="1"/>
</calcChain>
</file>

<file path=xl/sharedStrings.xml><?xml version="1.0" encoding="utf-8"?>
<sst xmlns="http://schemas.openxmlformats.org/spreadsheetml/2006/main" count="4170" uniqueCount="1360">
  <si>
    <t>ORGANIZATION</t>
  </si>
  <si>
    <t>FIRST NAME</t>
  </si>
  <si>
    <t>LAST NAME</t>
  </si>
  <si>
    <t>TITLE</t>
  </si>
  <si>
    <t>TYPE</t>
  </si>
  <si>
    <t>TWITTER</t>
  </si>
  <si>
    <t>EMAIL</t>
  </si>
  <si>
    <t>ADDRESS</t>
  </si>
  <si>
    <t>CITY</t>
  </si>
  <si>
    <t>COUNTY</t>
  </si>
  <si>
    <t>STATE</t>
  </si>
  <si>
    <t>ZIP</t>
  </si>
  <si>
    <t>PHONE</t>
  </si>
  <si>
    <t>Times-News</t>
  </si>
  <si>
    <t>Paul</t>
  </si>
  <si>
    <t>Mauney</t>
  </si>
  <si>
    <t>Publisher</t>
  </si>
  <si>
    <t>Daily</t>
  </si>
  <si>
    <t>707 S. Main St.</t>
  </si>
  <si>
    <t>Burlington</t>
  </si>
  <si>
    <t>Alamance</t>
  </si>
  <si>
    <t>NC</t>
  </si>
  <si>
    <t>336-506-3002</t>
  </si>
  <si>
    <t>Rich</t>
  </si>
  <si>
    <t>Jackson</t>
  </si>
  <si>
    <t>Editor</t>
  </si>
  <si>
    <t>336-506-3030</t>
  </si>
  <si>
    <t>Tom</t>
  </si>
  <si>
    <t>Jones</t>
  </si>
  <si>
    <t>City Editor</t>
  </si>
  <si>
    <t>336-506-3040</t>
  </si>
  <si>
    <t>Isaac</t>
  </si>
  <si>
    <t>Groves</t>
  </si>
  <si>
    <t>Reporter</t>
  </si>
  <si>
    <t>336-227-0131</t>
  </si>
  <si>
    <t>Jessica</t>
  </si>
  <si>
    <t>Williams</t>
  </si>
  <si>
    <t>Newsroom</t>
  </si>
  <si>
    <t>Letters to the Editor</t>
  </si>
  <si>
    <t>Washington Daily News</t>
  </si>
  <si>
    <t>Ashley</t>
  </si>
  <si>
    <t>Vansant</t>
  </si>
  <si>
    <t>217 N. Market St.</t>
  </si>
  <si>
    <t>Washington</t>
  </si>
  <si>
    <t>Beaufort</t>
  </si>
  <si>
    <t>252-946-2144</t>
  </si>
  <si>
    <t>Vail</t>
  </si>
  <si>
    <t>Rumley</t>
  </si>
  <si>
    <t>Asheville Citizen-Times</t>
  </si>
  <si>
    <t>Katie</t>
  </si>
  <si>
    <t>Wadington</t>
  </si>
  <si>
    <t>News Director</t>
  </si>
  <si>
    <t>@katiewadington</t>
  </si>
  <si>
    <t>14 O. Henry Ave.</t>
  </si>
  <si>
    <t>Asheville</t>
  </si>
  <si>
    <t>Buncombe</t>
  </si>
  <si>
    <t>828-236-8971</t>
  </si>
  <si>
    <t>Bruce</t>
  </si>
  <si>
    <t>Steele</t>
  </si>
  <si>
    <t>Editor (Planning)</t>
  </si>
  <si>
    <t>@bcsteele</t>
  </si>
  <si>
    <t>bsteele@citizen-times.com</t>
  </si>
  <si>
    <t>828-232-5848</t>
  </si>
  <si>
    <t xml:space="preserve">Casey </t>
  </si>
  <si>
    <t>Blake</t>
  </si>
  <si>
    <t>Opinion Editor</t>
  </si>
  <si>
    <t>828-232-2922</t>
  </si>
  <si>
    <t>Mark</t>
  </si>
  <si>
    <t>Barrett</t>
  </si>
  <si>
    <t>Reporter (City and County Government)</t>
  </si>
  <si>
    <t>@MarkBarrettACT</t>
  </si>
  <si>
    <t>mbarrett@citizen-times.com</t>
  </si>
  <si>
    <t>828-232-5833</t>
  </si>
  <si>
    <t>John</t>
  </si>
  <si>
    <t>Boyle</t>
  </si>
  <si>
    <t>Reporter and Columnist</t>
  </si>
  <si>
    <t>@AnswerManBoyle</t>
  </si>
  <si>
    <t>jboyle@citizen-times.com</t>
  </si>
  <si>
    <t>828-232-5847</t>
  </si>
  <si>
    <t>Joel</t>
  </si>
  <si>
    <t>Burgess</t>
  </si>
  <si>
    <t xml:space="preserve">Reporter: City government </t>
  </si>
  <si>
    <t>@AVLreporter</t>
  </si>
  <si>
    <t>828-232-5960</t>
  </si>
  <si>
    <t>Karen</t>
  </si>
  <si>
    <t>Chávez</t>
  </si>
  <si>
    <t xml:space="preserve">Carolina Outdoors </t>
  </si>
  <si>
    <t>@KarenChavezACT</t>
  </si>
  <si>
    <t>828-236-8980</t>
  </si>
  <si>
    <t xml:space="preserve">Mackensy </t>
  </si>
  <si>
    <t>Lunsford</t>
  </si>
  <si>
    <t>Reporter (Food)</t>
  </si>
  <si>
    <t>@mackensy</t>
  </si>
  <si>
    <t>828-232-2935</t>
  </si>
  <si>
    <t>News Releases</t>
  </si>
  <si>
    <t>828-252-5610</t>
  </si>
  <si>
    <t>Carolina Public Press</t>
  </si>
  <si>
    <t>Jon</t>
  </si>
  <si>
    <t>Elliston</t>
  </si>
  <si>
    <t xml:space="preserve">Reporter, Open Government </t>
  </si>
  <si>
    <t>Daily (Online only)</t>
  </si>
  <si>
    <t>@jonelliston</t>
  </si>
  <si>
    <t>P.O. Box 17595</t>
  </si>
  <si>
    <t>828-774-5290</t>
  </si>
  <si>
    <t>Michael</t>
  </si>
  <si>
    <t>Gebelein</t>
  </si>
  <si>
    <t>Investigative Reporter</t>
  </si>
  <si>
    <t xml:space="preserve">Angie </t>
  </si>
  <si>
    <t>Newsome</t>
  </si>
  <si>
    <t>Executive Director</t>
  </si>
  <si>
    <t>@ angienewsome</t>
  </si>
  <si>
    <t>Kirk</t>
  </si>
  <si>
    <t>Ross</t>
  </si>
  <si>
    <t>Capital Bureau Chief</t>
  </si>
  <si>
    <t>@ludkmr</t>
  </si>
  <si>
    <t>Frank</t>
  </si>
  <si>
    <t>Taylor</t>
  </si>
  <si>
    <t>Managing Editor</t>
  </si>
  <si>
    <t>News Herald</t>
  </si>
  <si>
    <t>Lamar</t>
  </si>
  <si>
    <t>Smitherman</t>
  </si>
  <si>
    <t>301 Collett St.</t>
  </si>
  <si>
    <t>Morganton</t>
  </si>
  <si>
    <t>Burke</t>
  </si>
  <si>
    <t>828-432-8933</t>
  </si>
  <si>
    <t>Lisa</t>
  </si>
  <si>
    <t>Wall</t>
  </si>
  <si>
    <t xml:space="preserve"> Editor</t>
  </si>
  <si>
    <t>828-432-8939</t>
  </si>
  <si>
    <t>Tammy</t>
  </si>
  <si>
    <t>Gercken</t>
  </si>
  <si>
    <t>Staff Writer</t>
  </si>
  <si>
    <t>828-432-8940, ext. 2101</t>
  </si>
  <si>
    <t>Jonelle</t>
  </si>
  <si>
    <t>Bobak</t>
  </si>
  <si>
    <t>Reporter (Nonprofits/Education)</t>
  </si>
  <si>
    <t>828-432-8907, ext. 2106</t>
  </si>
  <si>
    <t>Justin</t>
  </si>
  <si>
    <t>Epley</t>
  </si>
  <si>
    <t>828-432-8943, ext. 2104</t>
  </si>
  <si>
    <t>Sharon</t>
  </si>
  <si>
    <t>McBrayer</t>
  </si>
  <si>
    <t>828-432-8946</t>
  </si>
  <si>
    <t>Concord &amp; Kannapolis Independent Tribune</t>
  </si>
  <si>
    <t>Eric</t>
  </si>
  <si>
    <t>Millsaps</t>
  </si>
  <si>
    <t>363 Church St. N. Ste. 140</t>
  </si>
  <si>
    <t>Concord</t>
  </si>
  <si>
    <t>Cabarrus</t>
  </si>
  <si>
    <t>704-789-9110</t>
  </si>
  <si>
    <t>Plemmons</t>
  </si>
  <si>
    <t>704-789-9105</t>
  </si>
  <si>
    <t>Knox</t>
  </si>
  <si>
    <t>Reporter (General assignment)</t>
  </si>
  <si>
    <t>704-782-3155</t>
  </si>
  <si>
    <t>Erin</t>
  </si>
  <si>
    <t>Kidd</t>
  </si>
  <si>
    <t>Reporter (General)</t>
  </si>
  <si>
    <t>Weeks</t>
  </si>
  <si>
    <t>704-789-9103</t>
  </si>
  <si>
    <t>704-789-9120</t>
  </si>
  <si>
    <t>News-Topic</t>
  </si>
  <si>
    <t>Guy</t>
  </si>
  <si>
    <t>Lucas</t>
  </si>
  <si>
    <t>guylucas@newstopicnews.com</t>
  </si>
  <si>
    <t>123 Pennton Ave.</t>
  </si>
  <si>
    <t>Lenoir</t>
  </si>
  <si>
    <t>Caldwell</t>
  </si>
  <si>
    <t>828-610-8715</t>
  </si>
  <si>
    <t>Jordan</t>
  </si>
  <si>
    <t>Davis</t>
  </si>
  <si>
    <t>Reporter (Education and Communities)</t>
  </si>
  <si>
    <t>828-610-8723</t>
  </si>
  <si>
    <t>Kara</t>
  </si>
  <si>
    <t xml:space="preserve"> Fohner</t>
  </si>
  <si>
    <t>Reporter (Law Enforcement and Courts)</t>
  </si>
  <si>
    <t>828-610-8721</t>
  </si>
  <si>
    <t xml:space="preserve"> </t>
  </si>
  <si>
    <t>Hickory Daily Record</t>
  </si>
  <si>
    <t>Tim</t>
  </si>
  <si>
    <t>Dearman</t>
  </si>
  <si>
    <t>1100 11th Avenue Boulevard SE</t>
  </si>
  <si>
    <t>Hickory</t>
  </si>
  <si>
    <t>Catawba</t>
  </si>
  <si>
    <t>828-304-6901</t>
  </si>
  <si>
    <t>LaFontaine</t>
  </si>
  <si>
    <t>828-304-6909</t>
  </si>
  <si>
    <t>Emily</t>
  </si>
  <si>
    <t>Willis</t>
  </si>
  <si>
    <t>828-322-4510</t>
  </si>
  <si>
    <t>Max</t>
  </si>
  <si>
    <t>Seng</t>
  </si>
  <si>
    <t>Reporter (Crime)</t>
  </si>
  <si>
    <t>Dayberry</t>
  </si>
  <si>
    <t>Reporter (Community)</t>
  </si>
  <si>
    <t>Neas</t>
  </si>
  <si>
    <t>Reporter (Crime/Courts)</t>
  </si>
  <si>
    <t>Observer News Enterprise</t>
  </si>
  <si>
    <t>Cigi</t>
  </si>
  <si>
    <t>Sparks</t>
  </si>
  <si>
    <t xml:space="preserve">309 N. College Ave. </t>
  </si>
  <si>
    <t>Newton</t>
  </si>
  <si>
    <t>828-464-0221</t>
  </si>
  <si>
    <t>Seth</t>
  </si>
  <si>
    <t>Mabrey</t>
  </si>
  <si>
    <t>Publisher/Editor</t>
  </si>
  <si>
    <t>Catwaba</t>
  </si>
  <si>
    <t>Observer-News Enterprise</t>
  </si>
  <si>
    <t>Shelby Star</t>
  </si>
  <si>
    <t>Lucy</t>
  </si>
  <si>
    <t>Talley</t>
  </si>
  <si>
    <t>315 E. Graham St.</t>
  </si>
  <si>
    <t>Shelby</t>
  </si>
  <si>
    <t>Cleveland</t>
  </si>
  <si>
    <t>704-869-1702</t>
  </si>
  <si>
    <t>Diane</t>
  </si>
  <si>
    <t>Turbyfill</t>
  </si>
  <si>
    <t>News Editor</t>
  </si>
  <si>
    <t>704-669-3334</t>
  </si>
  <si>
    <t>Casey</t>
  </si>
  <si>
    <t>White</t>
  </si>
  <si>
    <t>News Reporter</t>
  </si>
  <si>
    <t>704-669-3339</t>
  </si>
  <si>
    <t>Elise</t>
  </si>
  <si>
    <t>Franco</t>
  </si>
  <si>
    <t>Senior Reporter</t>
  </si>
  <si>
    <t>704-669-3337</t>
  </si>
  <si>
    <t>Joyce</t>
  </si>
  <si>
    <t>Orlando</t>
  </si>
  <si>
    <t>704-669-3341</t>
  </si>
  <si>
    <t xml:space="preserve">Newsroom </t>
  </si>
  <si>
    <t>704-669-3350</t>
  </si>
  <si>
    <t>Crime Reporter</t>
  </si>
  <si>
    <t>shelbystar@shelbystar.com</t>
  </si>
  <si>
    <t>704-669-3333</t>
  </si>
  <si>
    <t>michelle.owens@shelbystar.com</t>
  </si>
  <si>
    <t>Sun Journal</t>
  </si>
  <si>
    <t>Chris</t>
  </si>
  <si>
    <t>Segal</t>
  </si>
  <si>
    <t>chris.segal@kinston.com</t>
  </si>
  <si>
    <t>3200 Wellons Blvd.</t>
  </si>
  <si>
    <t>New Bern</t>
  </si>
  <si>
    <t>Craven</t>
  </si>
  <si>
    <t>252-635-5663</t>
  </si>
  <si>
    <t>Ken</t>
  </si>
  <si>
    <t>Buday</t>
  </si>
  <si>
    <t>Ken.Buday@newbernsj.com</t>
  </si>
  <si>
    <t>252-635-5673</t>
  </si>
  <si>
    <t>Charlie</t>
  </si>
  <si>
    <t>Hall</t>
  </si>
  <si>
    <t>Charlie.Hall@newbernsj.com</t>
  </si>
  <si>
    <t>252-638-8101</t>
  </si>
  <si>
    <t>Bill</t>
  </si>
  <si>
    <t>Hand</t>
  </si>
  <si>
    <t>252-635-5677</t>
  </si>
  <si>
    <t>252-635-5667</t>
  </si>
  <si>
    <t>Eddie</t>
  </si>
  <si>
    <t>Fitzgerald</t>
  </si>
  <si>
    <t>252-635-5675</t>
  </si>
  <si>
    <t>Fayetteville Observer</t>
  </si>
  <si>
    <t>Robert</t>
  </si>
  <si>
    <t>Gruber</t>
  </si>
  <si>
    <t>458 Whitfield St.</t>
  </si>
  <si>
    <t>Fayetteville</t>
  </si>
  <si>
    <t>Cumberland</t>
  </si>
  <si>
    <t>910-486-3501</t>
  </si>
  <si>
    <t xml:space="preserve">Matt </t>
  </si>
  <si>
    <t>Leclercq</t>
  </si>
  <si>
    <t>Executive Editor</t>
  </si>
  <si>
    <t>910-486-3579</t>
  </si>
  <si>
    <t>Editorial Page Editor</t>
  </si>
  <si>
    <t>910-486-3504</t>
  </si>
  <si>
    <t xml:space="preserve">Lorry </t>
  </si>
  <si>
    <t>Deputy Editor (News)</t>
  </si>
  <si>
    <t>910-486-3524</t>
  </si>
  <si>
    <t>Alan</t>
  </si>
  <si>
    <t>Wooten</t>
  </si>
  <si>
    <t>Metro/Business Editor</t>
  </si>
  <si>
    <t>910-486-3570</t>
  </si>
  <si>
    <t>Rodger</t>
  </si>
  <si>
    <t>Mullen</t>
  </si>
  <si>
    <t>Reporter (Weekender and Hope Mills)</t>
  </si>
  <si>
    <t>Kim</t>
  </si>
  <si>
    <t>Hasty</t>
  </si>
  <si>
    <t>Sunday Life Editor</t>
  </si>
  <si>
    <t>910-486-3591</t>
  </si>
  <si>
    <t>Drew</t>
  </si>
  <si>
    <t>Brooks</t>
  </si>
  <si>
    <t xml:space="preserve">Editor (Military) </t>
  </si>
  <si>
    <t>910-486-3567</t>
  </si>
  <si>
    <t>Amanda</t>
  </si>
  <si>
    <t>Dolansinski</t>
  </si>
  <si>
    <t xml:space="preserve">Reporter (Military) </t>
  </si>
  <si>
    <t>910-486-3528</t>
  </si>
  <si>
    <t>Greg</t>
  </si>
  <si>
    <t>Barnes</t>
  </si>
  <si>
    <t>Senior Writer</t>
  </si>
  <si>
    <t>910-486-3525</t>
  </si>
  <si>
    <t>Futch</t>
  </si>
  <si>
    <t>Reporter (Business)</t>
  </si>
  <si>
    <t>910-486-3529</t>
  </si>
  <si>
    <t>Woolverton</t>
  </si>
  <si>
    <t>Reporter (Politics, Government and Courts)</t>
  </si>
  <si>
    <t>910-486-3512</t>
  </si>
  <si>
    <t>Steve</t>
  </si>
  <si>
    <t>DeVane</t>
  </si>
  <si>
    <t>Reporter (Cumberland County)</t>
  </si>
  <si>
    <t>910-486-3572</t>
  </si>
  <si>
    <t>Chick</t>
  </si>
  <si>
    <t>Jacobs</t>
  </si>
  <si>
    <t>910-486-3515</t>
  </si>
  <si>
    <t>Nancy</t>
  </si>
  <si>
    <t>McCleary</t>
  </si>
  <si>
    <t>Reporter (Crime Breaking News)</t>
  </si>
  <si>
    <t>910-486-3568</t>
  </si>
  <si>
    <t>Monica</t>
  </si>
  <si>
    <t>Vendituoli</t>
  </si>
  <si>
    <t>Reporter (Crime and Public Safety)</t>
  </si>
  <si>
    <t>910-486-3596</t>
  </si>
  <si>
    <t>Myron</t>
  </si>
  <si>
    <t>Pitts</t>
  </si>
  <si>
    <t xml:space="preserve">Columnist </t>
  </si>
  <si>
    <t>919-486-3559</t>
  </si>
  <si>
    <t>Kirby Jr</t>
  </si>
  <si>
    <t>Columnist</t>
  </si>
  <si>
    <t>910-486-3571</t>
  </si>
  <si>
    <t>910-323-4848 x 486</t>
  </si>
  <si>
    <t>910-486-3500</t>
  </si>
  <si>
    <t>Virginian-Pilot</t>
  </si>
  <si>
    <t xml:space="preserve">Jeff </t>
  </si>
  <si>
    <t>Hampton</t>
  </si>
  <si>
    <t>Reporter (Coastal North Carolina)</t>
  </si>
  <si>
    <t>2224 S Croatan Highway P.O. Box 10</t>
  </si>
  <si>
    <t>Nags Head</t>
  </si>
  <si>
    <t>Dare</t>
  </si>
  <si>
    <t>252-338-0159</t>
  </si>
  <si>
    <t>Dispatch</t>
  </si>
  <si>
    <t>Scott</t>
  </si>
  <si>
    <t>Jenkins</t>
  </si>
  <si>
    <t>30 E. First Ave.</t>
  </si>
  <si>
    <t>Lexington</t>
  </si>
  <si>
    <t>Davidson</t>
  </si>
  <si>
    <t>336-249-3981, Ext 215</t>
  </si>
  <si>
    <t>Ben</t>
  </si>
  <si>
    <t>Coley</t>
  </si>
  <si>
    <t>ben.coley@the-dispatch.com</t>
  </si>
  <si>
    <t>336-249-3981, Ext. 213</t>
  </si>
  <si>
    <t>Myers</t>
  </si>
  <si>
    <t>336-249-3981, Ext. 228</t>
  </si>
  <si>
    <t xml:space="preserve">Jill </t>
  </si>
  <si>
    <t>Doss-Raines</t>
  </si>
  <si>
    <t>Lifestyles/Community News Editor</t>
  </si>
  <si>
    <t>336-249-3981</t>
  </si>
  <si>
    <t>Herald-Sun</t>
  </si>
  <si>
    <t>Sara</t>
  </si>
  <si>
    <t>Glines</t>
  </si>
  <si>
    <t>1530 N. Gregson St, Suite 2A</t>
  </si>
  <si>
    <t>Durham</t>
  </si>
  <si>
    <t xml:space="preserve">Mark </t>
  </si>
  <si>
    <t>Schultz</t>
  </si>
  <si>
    <t>919-829-8950</t>
  </si>
  <si>
    <t>Donovan</t>
  </si>
  <si>
    <t>Metro Editor</t>
  </si>
  <si>
    <t>919-419-6655</t>
  </si>
  <si>
    <t>Ray</t>
  </si>
  <si>
    <t>Gronberg</t>
  </si>
  <si>
    <t>Reporter (Higher Ed)</t>
  </si>
  <si>
    <t>N C</t>
  </si>
  <si>
    <t>919-419-6648</t>
  </si>
  <si>
    <t>Virginia</t>
  </si>
  <si>
    <t>Bridges</t>
  </si>
  <si>
    <t>Reporter (Durham Government)</t>
  </si>
  <si>
    <t>919-829-8924</t>
  </si>
  <si>
    <t>Colin</t>
  </si>
  <si>
    <t>Warren-Hicks</t>
  </si>
  <si>
    <t>Reporter (Public Safety)</t>
  </si>
  <si>
    <t>919-419-6636</t>
  </si>
  <si>
    <t>Zachary</t>
  </si>
  <si>
    <t>Eanes</t>
  </si>
  <si>
    <t>Dawn</t>
  </si>
  <si>
    <t>Vaughan</t>
  </si>
  <si>
    <t>Reporter, Columnist</t>
  </si>
  <si>
    <t>919-419-6563</t>
  </si>
  <si>
    <t>Childress</t>
  </si>
  <si>
    <t>Reporter (Education)</t>
  </si>
  <si>
    <t>919-419-6645</t>
  </si>
  <si>
    <t>919-419-6500</t>
  </si>
  <si>
    <t xml:space="preserve">Durham </t>
  </si>
  <si>
    <t>Winston-Salem Journal</t>
  </si>
  <si>
    <t>Kevin</t>
  </si>
  <si>
    <t>Kampman</t>
  </si>
  <si>
    <t>418 N. Marshall St.</t>
  </si>
  <si>
    <t>Winston-Salem</t>
  </si>
  <si>
    <t>Forsyth</t>
  </si>
  <si>
    <t>336-727-7348</t>
  </si>
  <si>
    <t>Andy</t>
  </si>
  <si>
    <t>Morrissey</t>
  </si>
  <si>
    <t>336-727-7389</t>
  </si>
  <si>
    <t>Railey</t>
  </si>
  <si>
    <t>336-727-7357</t>
  </si>
  <si>
    <t>Editorial Writer</t>
  </si>
  <si>
    <t>336-727-7359</t>
  </si>
  <si>
    <t>Jereoldene</t>
  </si>
  <si>
    <t>Young</t>
  </si>
  <si>
    <t>336-727-7307</t>
  </si>
  <si>
    <t>Jennifer</t>
  </si>
  <si>
    <t>Night Editor</t>
  </si>
  <si>
    <t>336-727-7279</t>
  </si>
  <si>
    <t>Sexton</t>
  </si>
  <si>
    <t>336-727-7481</t>
  </si>
  <si>
    <t>Francina</t>
  </si>
  <si>
    <t>Daniel</t>
  </si>
  <si>
    <t>336-727-7366</t>
  </si>
  <si>
    <t>Richard</t>
  </si>
  <si>
    <t>Craver</t>
  </si>
  <si>
    <t>336-727-7376</t>
  </si>
  <si>
    <t>Hewlett</t>
  </si>
  <si>
    <t>Reporter (Courts)</t>
  </si>
  <si>
    <t>336-727-7326</t>
  </si>
  <si>
    <t>Hinton</t>
  </si>
  <si>
    <t>336-727-7299</t>
  </si>
  <si>
    <t>Wesley</t>
  </si>
  <si>
    <t>Reporter (City Government)</t>
  </si>
  <si>
    <t>336-727-7369</t>
  </si>
  <si>
    <t>Shu</t>
  </si>
  <si>
    <t>Reporter (Journal West)</t>
  </si>
  <si>
    <t>336-727-7420</t>
  </si>
  <si>
    <t>Bertrand</t>
  </si>
  <si>
    <t xml:space="preserve"> Gutierrez</t>
  </si>
  <si>
    <t>Reporter (Western District Federal Court, Watauga, Ashe)</t>
  </si>
  <si>
    <t xml:space="preserve">        336-727-7278</t>
  </si>
  <si>
    <t>336-727-7211</t>
  </si>
  <si>
    <t>Gaston Gazette</t>
  </si>
  <si>
    <t>1893 Remount Road</t>
  </si>
  <si>
    <t>Gastonia</t>
  </si>
  <si>
    <t>Gaston</t>
  </si>
  <si>
    <t>Ellis</t>
  </si>
  <si>
    <t>704-869-1823</t>
  </si>
  <si>
    <t>Banks</t>
  </si>
  <si>
    <t>Deputy Editor (Operations)</t>
  </si>
  <si>
    <t>Reporter (Gastonia and Gaston County government)</t>
  </si>
  <si>
    <t>704-869-1826</t>
  </si>
  <si>
    <t>Adam</t>
  </si>
  <si>
    <t>Lawson</t>
  </si>
  <si>
    <t>Reporter (Crime and Cops)</t>
  </si>
  <si>
    <t>High Point Enterprise</t>
  </si>
  <si>
    <t>Rick</t>
  </si>
  <si>
    <t>Bean</t>
  </si>
  <si>
    <t>213 Woodbine Street</t>
  </si>
  <si>
    <t>High Point</t>
  </si>
  <si>
    <t>Guilford</t>
  </si>
  <si>
    <t>336-888-3500</t>
  </si>
  <si>
    <t>Megan</t>
  </si>
  <si>
    <t>Ward</t>
  </si>
  <si>
    <t>336-888-3543</t>
  </si>
  <si>
    <t>Vince</t>
  </si>
  <si>
    <t>Wheeler</t>
  </si>
  <si>
    <t>336-888-3517</t>
  </si>
  <si>
    <t>Joe</t>
  </si>
  <si>
    <t>Feeney</t>
  </si>
  <si>
    <t>336-888-3527</t>
  </si>
  <si>
    <t>Johnson</t>
  </si>
  <si>
    <t>Reporter (Government)</t>
  </si>
  <si>
    <t>336-888-3528</t>
  </si>
  <si>
    <t>Pat</t>
  </si>
  <si>
    <t>Kimbrough</t>
  </si>
  <si>
    <t>Reporter (High Point)</t>
  </si>
  <si>
    <t>336-888-3538</t>
  </si>
  <si>
    <t>Stephanie</t>
  </si>
  <si>
    <t>Butzer</t>
  </si>
  <si>
    <t>Reporter (Features)</t>
  </si>
  <si>
    <t>336-888-3617</t>
  </si>
  <si>
    <t xml:space="preserve">Jimmy </t>
  </si>
  <si>
    <t>Tomlin</t>
  </si>
  <si>
    <t>News &amp; Record</t>
  </si>
  <si>
    <t xml:space="preserve">Daniel </t>
  </si>
  <si>
    <t>Finnegan</t>
  </si>
  <si>
    <t>200 E. Market St.</t>
  </si>
  <si>
    <t>Greensboro</t>
  </si>
  <si>
    <t>336-373-7051 </t>
  </si>
  <si>
    <t>Allen</t>
  </si>
  <si>
    <t>336-373-7010</t>
  </si>
  <si>
    <t>Doug</t>
  </si>
  <si>
    <t>Clark</t>
  </si>
  <si>
    <t>336-373-7039</t>
  </si>
  <si>
    <t>Steven</t>
  </si>
  <si>
    <t>Doyle</t>
  </si>
  <si>
    <t>336-373-7012</t>
  </si>
  <si>
    <t>Mike</t>
  </si>
  <si>
    <t>Kernels</t>
  </si>
  <si>
    <t>Asst. Local Editor</t>
  </si>
  <si>
    <t>336-373-7120</t>
  </si>
  <si>
    <t>Fernandez</t>
  </si>
  <si>
    <t>336-373-7064</t>
  </si>
  <si>
    <t>Susan</t>
  </si>
  <si>
    <t>Ladd</t>
  </si>
  <si>
    <t>Reporter (General Assignment), Columnist</t>
  </si>
  <si>
    <t>336-373-7006</t>
  </si>
  <si>
    <t>McLaughlin</t>
  </si>
  <si>
    <t>Reporter (Faith and Values)</t>
  </si>
  <si>
    <t>336-373-7049</t>
  </si>
  <si>
    <t>Taft</t>
  </si>
  <si>
    <t>Wireback</t>
  </si>
  <si>
    <t>Reporter (Investigative)</t>
  </si>
  <si>
    <t>336-373-7100</t>
  </si>
  <si>
    <t>Newsom</t>
  </si>
  <si>
    <t xml:space="preserve">Reporter (Higher Education) </t>
  </si>
  <si>
    <t>336-373-7312</t>
  </si>
  <si>
    <t>Danielle</t>
  </si>
  <si>
    <t>Battaglia</t>
  </si>
  <si>
    <t>Courts Reporter</t>
  </si>
  <si>
    <t>336-373-4476</t>
  </si>
  <si>
    <t>Barron</t>
  </si>
  <si>
    <t xml:space="preserve">Reporter (Business) </t>
  </si>
  <si>
    <t xml:space="preserve">336-373-7371 </t>
  </si>
  <si>
    <t>336-373-7001</t>
  </si>
  <si>
    <t>336-373-7067</t>
  </si>
  <si>
    <t>Daily Herald</t>
  </si>
  <si>
    <t>Titus</t>
  </si>
  <si>
    <t>Workman</t>
  </si>
  <si>
    <t>publisher@rrdailyherald.com</t>
  </si>
  <si>
    <t xml:space="preserve">916 Roanoke Ave. </t>
  </si>
  <si>
    <t>Roanoke Rapids</t>
  </si>
  <si>
    <t>Halifax</t>
  </si>
  <si>
    <t>252-410 -7065</t>
  </si>
  <si>
    <t>Lindburg</t>
  </si>
  <si>
    <t>mlindberg@rrdailyherald.com</t>
  </si>
  <si>
    <t>252-410 -7054</t>
  </si>
  <si>
    <t>Tia</t>
  </si>
  <si>
    <t>Bedwell</t>
  </si>
  <si>
    <t>252-410-7056</t>
  </si>
  <si>
    <t>Khai</t>
  </si>
  <si>
    <t>Hoang</t>
  </si>
  <si>
    <t>Reporter (Police)</t>
  </si>
  <si>
    <t>252-410-7057</t>
  </si>
  <si>
    <t>252-410-7054</t>
  </si>
  <si>
    <t>Daily Record</t>
  </si>
  <si>
    <t>Bart</t>
  </si>
  <si>
    <t>Adams</t>
  </si>
  <si>
    <t>PO 1448/99 W. Broad Street</t>
  </si>
  <si>
    <t>Dunn</t>
  </si>
  <si>
    <t>Harnett</t>
  </si>
  <si>
    <t>910-891-1234</t>
  </si>
  <si>
    <t>Farmer</t>
  </si>
  <si>
    <t xml:space="preserve">910-893-5121
</t>
  </si>
  <si>
    <t>Hendersonville Times-News</t>
  </si>
  <si>
    <t>Larry</t>
  </si>
  <si>
    <t>Riley</t>
  </si>
  <si>
    <t>106 Henderson Crossing Plaza</t>
  </si>
  <si>
    <t>Hendersonville</t>
  </si>
  <si>
    <t>Henderson</t>
  </si>
  <si>
    <t>828-694-7830</t>
  </si>
  <si>
    <t>Heaslip</t>
  </si>
  <si>
    <t>828-694-7872</t>
  </si>
  <si>
    <t>Andrew</t>
  </si>
  <si>
    <t>Mundhenk</t>
  </si>
  <si>
    <t>828-694-7871</t>
  </si>
  <si>
    <t>Derek</t>
  </si>
  <si>
    <t>Lacey</t>
  </si>
  <si>
    <t>Government Reporter</t>
  </si>
  <si>
    <t>828-694-7860</t>
  </si>
  <si>
    <t>828-694-7867</t>
  </si>
  <si>
    <t>828-692-0505</t>
  </si>
  <si>
    <t>Statesville Record &amp; Landmark</t>
  </si>
  <si>
    <t>222 E. Broad St.</t>
  </si>
  <si>
    <t>Statesville</t>
  </si>
  <si>
    <t>Iredell</t>
  </si>
  <si>
    <t>704-761-2925</t>
  </si>
  <si>
    <t>Dave</t>
  </si>
  <si>
    <t>Ibach</t>
  </si>
  <si>
    <t>704-873-1451 ext. 4401</t>
  </si>
  <si>
    <t>Donna</t>
  </si>
  <si>
    <t>Swicegood</t>
  </si>
  <si>
    <t>704-873-1451</t>
  </si>
  <si>
    <t>Lee</t>
  </si>
  <si>
    <t>Reporter (Education, Health)</t>
  </si>
  <si>
    <t xml:space="preserve">222. E. Broad St. </t>
  </si>
  <si>
    <t>Sanford Herald</t>
  </si>
  <si>
    <t>Shawn</t>
  </si>
  <si>
    <t>Stinson</t>
  </si>
  <si>
    <t>208 St. Clair Court</t>
  </si>
  <si>
    <t>Sanford</t>
  </si>
  <si>
    <t>919-718-1227</t>
  </si>
  <si>
    <t>Logan</t>
  </si>
  <si>
    <t>Martinez</t>
  </si>
  <si>
    <t>919-718-1221</t>
  </si>
  <si>
    <t>Horner</t>
  </si>
  <si>
    <t>919-718-1217</t>
  </si>
  <si>
    <t>919-708-9000</t>
  </si>
  <si>
    <t>Kinston Free Press</t>
  </si>
  <si>
    <t>Distelhorst</t>
  </si>
  <si>
    <t>2103 N. Queen St.</t>
  </si>
  <si>
    <t>Kinston</t>
  </si>
  <si>
    <t>252-559-1040</t>
  </si>
  <si>
    <t>252-559-1074</t>
  </si>
  <si>
    <t xml:space="preserve">Dustin </t>
  </si>
  <si>
    <t>George</t>
  </si>
  <si>
    <t xml:space="preserve">Reporter </t>
  </si>
  <si>
    <t>252-559-1077</t>
  </si>
  <si>
    <t>McDowell News</t>
  </si>
  <si>
    <t>136 Logan St.</t>
  </si>
  <si>
    <t>Marion</t>
  </si>
  <si>
    <t>McDowell</t>
  </si>
  <si>
    <t>Hollifield</t>
  </si>
  <si>
    <t xml:space="preserve">Editor </t>
  </si>
  <si>
    <t>Conley</t>
  </si>
  <si>
    <t>828-652-3313, Ext. 3449</t>
  </si>
  <si>
    <t>136 Logan St</t>
  </si>
  <si>
    <t>828-652-3313 ext 3402</t>
  </si>
  <si>
    <t>828-652-3313</t>
  </si>
  <si>
    <t>N.C. A&amp;T University "Register"</t>
  </si>
  <si>
    <t>Mitch</t>
  </si>
  <si>
    <t>Weiss</t>
  </si>
  <si>
    <t>Reporter (Charlotte)</t>
  </si>
  <si>
    <t>Daily (News Service)</t>
  </si>
  <si>
    <t>@mitchweiss</t>
  </si>
  <si>
    <t>1100 S. Tryon St., Suite 310</t>
  </si>
  <si>
    <t>Charlotte</t>
  </si>
  <si>
    <t>Mecklenburg</t>
  </si>
  <si>
    <t>704-334-4624</t>
  </si>
  <si>
    <t>Charlotte Agenda</t>
  </si>
  <si>
    <t>Editor-in-Chief &amp; Lead analyst</t>
  </si>
  <si>
    <t>https://www.charlotteagenda.com/</t>
  </si>
  <si>
    <t>Levans</t>
  </si>
  <si>
    <t>Creative Director &amp; Senior Writer</t>
  </si>
  <si>
    <t>katie@@charlotteagenda.com</t>
  </si>
  <si>
    <t>Kylie</t>
  </si>
  <si>
    <t>Moore</t>
  </si>
  <si>
    <t>Reporter &amp; Digital Producer</t>
  </si>
  <si>
    <t>Ted</t>
  </si>
  <si>
    <t>Publisher &amp; Senior Writer</t>
  </si>
  <si>
    <t>Charlotte Observer</t>
  </si>
  <si>
    <t>Ann</t>
  </si>
  <si>
    <t>Caulkins</t>
  </si>
  <si>
    <t>550 S. Cauldwell Street</t>
  </si>
  <si>
    <t>704-358-5000</t>
  </si>
  <si>
    <t>Sherry</t>
  </si>
  <si>
    <t>Chisenhall</t>
  </si>
  <si>
    <t>@schisenhall</t>
  </si>
  <si>
    <t>Batten</t>
  </si>
  <si>
    <t>@tbatten1</t>
  </si>
  <si>
    <t>704-358-5934</t>
  </si>
  <si>
    <t>Peter</t>
  </si>
  <si>
    <t>St. Onge</t>
  </si>
  <si>
    <t>Associate Editor (Editorial)</t>
  </si>
  <si>
    <t>@saintorange</t>
  </si>
  <si>
    <t>pstonge@charlotteobserver.com</t>
  </si>
  <si>
    <t xml:space="preserve">704-358-5029 </t>
  </si>
  <si>
    <t>Siers</t>
  </si>
  <si>
    <t>Editorial Cartoonist</t>
  </si>
  <si>
    <t>@kevinsiers</t>
  </si>
  <si>
    <t>ksiers@charlotteobserver.com</t>
  </si>
  <si>
    <t>704-358-5018</t>
  </si>
  <si>
    <t>Gary</t>
  </si>
  <si>
    <t>Schwab</t>
  </si>
  <si>
    <t>Metro/Enterprise Editor</t>
  </si>
  <si>
    <t>704-358-5120</t>
  </si>
  <si>
    <t xml:space="preserve">Doug </t>
  </si>
  <si>
    <t>Miller</t>
  </si>
  <si>
    <t>Assistant Metro/Investigations Editor</t>
  </si>
  <si>
    <t>@dougobserver</t>
  </si>
  <si>
    <t>704-358-5107</t>
  </si>
  <si>
    <t xml:space="preserve">Ronnie </t>
  </si>
  <si>
    <t>Glassberg</t>
  </si>
  <si>
    <t>Assistant Metro/Politics Editor</t>
  </si>
  <si>
    <t>704-358-5819</t>
  </si>
  <si>
    <t xml:space="preserve">Adam </t>
  </si>
  <si>
    <t>Bell</t>
  </si>
  <si>
    <t xml:space="preserve">Reporter, Assistant Metro Editor </t>
  </si>
  <si>
    <t>@abell</t>
  </si>
  <si>
    <t>704-358-5696</t>
  </si>
  <si>
    <t>Gordon</t>
  </si>
  <si>
    <t>@MGordon1111</t>
  </si>
  <si>
    <t xml:space="preserve">704-358-5095 </t>
  </si>
  <si>
    <t>Harrison</t>
  </si>
  <si>
    <t>Reporter (Charlotte City Government)</t>
  </si>
  <si>
    <t>sharrison@charlotteobserver.com</t>
  </si>
  <si>
    <t>704-358-5160</t>
  </si>
  <si>
    <t>Reporter (General Assignment)</t>
  </si>
  <si>
    <t>@elizabethleland</t>
  </si>
  <si>
    <t>eleland@charlotteobserver.com</t>
  </si>
  <si>
    <t xml:space="preserve">704-358-5074 </t>
  </si>
  <si>
    <t>Mark*</t>
  </si>
  <si>
    <t>Washburn*</t>
  </si>
  <si>
    <t>Reporter (Local)</t>
  </si>
  <si>
    <t>704-358-5078</t>
  </si>
  <si>
    <t>Marusak</t>
  </si>
  <si>
    <t>Reporter/Breaking News</t>
  </si>
  <si>
    <t>@jmarusak</t>
  </si>
  <si>
    <t>704-978-3670</t>
  </si>
  <si>
    <t>Jim</t>
  </si>
  <si>
    <t>Morrill</t>
  </si>
  <si>
    <t>Reporter (Politics)</t>
  </si>
  <si>
    <t>@jimmorrill</t>
  </si>
  <si>
    <t>jmorrill@charlotteobserver.com</t>
  </si>
  <si>
    <t>704-358-5059</t>
  </si>
  <si>
    <t>Price</t>
  </si>
  <si>
    <t>Reporter (Philanthropy)</t>
  </si>
  <si>
    <t>mprice@charlotteobserver.com</t>
  </si>
  <si>
    <t xml:space="preserve">704-358-5245 </t>
  </si>
  <si>
    <t xml:space="preserve">Ann </t>
  </si>
  <si>
    <t>Dos Helms</t>
  </si>
  <si>
    <t>704-358-5033</t>
  </si>
  <si>
    <t>Anna</t>
  </si>
  <si>
    <t>Douglas</t>
  </si>
  <si>
    <t>Reporter (Health)</t>
  </si>
  <si>
    <t>adouglas@charlotteobserver.com</t>
  </si>
  <si>
    <t>Assistant Metro/Investigatons Editor</t>
  </si>
  <si>
    <t xml:space="preserve">Charlotte </t>
  </si>
  <si>
    <t>Fred</t>
  </si>
  <si>
    <t>Kelly</t>
  </si>
  <si>
    <t>Reporter (investigations)</t>
  </si>
  <si>
    <t xml:space="preserve">704-358-5027 </t>
  </si>
  <si>
    <t>Gavin</t>
  </si>
  <si>
    <t xml:space="preserve">Off </t>
  </si>
  <si>
    <t>Reporter (Investigations)</t>
  </si>
  <si>
    <t xml:space="preserve">704-358-6038 </t>
  </si>
  <si>
    <t>Ames</t>
  </si>
  <si>
    <t>Alexander</t>
  </si>
  <si>
    <t>@amesalex</t>
  </si>
  <si>
    <t>aalexander@charlotteobserver.com</t>
  </si>
  <si>
    <t xml:space="preserve">704-358-5060 </t>
  </si>
  <si>
    <t>Franco*</t>
  </si>
  <si>
    <t>Ordonez*</t>
  </si>
  <si>
    <t>Washington Bureau</t>
  </si>
  <si>
    <t>@FrancoOrdonez</t>
  </si>
  <si>
    <t xml:space="preserve">202-383-0010 </t>
  </si>
  <si>
    <t xml:space="preserve">Rick </t>
  </si>
  <si>
    <t>Rothacker</t>
  </si>
  <si>
    <t xml:space="preserve">Business Reporter (Investigations) </t>
  </si>
  <si>
    <t>704-358-5170</t>
  </si>
  <si>
    <t>Ely</t>
  </si>
  <si>
    <t>Portillo</t>
  </si>
  <si>
    <t xml:space="preserve">Business Reporter (Economic Development) </t>
  </si>
  <si>
    <t>704-358-5041</t>
  </si>
  <si>
    <t>Deon</t>
  </si>
  <si>
    <t>Roberts</t>
  </si>
  <si>
    <t xml:space="preserve">Business Reporter (Banking) </t>
  </si>
  <si>
    <t>704-358-5248</t>
  </si>
  <si>
    <t>Peralta</t>
  </si>
  <si>
    <t xml:space="preserve">Reporter (Retail, Breaking Business News) </t>
  </si>
  <si>
    <t>704-358-5079</t>
  </si>
  <si>
    <t xml:space="preserve">Reporter (Reading) </t>
  </si>
  <si>
    <t>dpowell@charlotteobserver.com</t>
  </si>
  <si>
    <t>704-358-5230</t>
  </si>
  <si>
    <t>Kathleen</t>
  </si>
  <si>
    <t>Purvis</t>
  </si>
  <si>
    <t>Food Editor</t>
  </si>
  <si>
    <t>704-358-5236</t>
  </si>
  <si>
    <t>Funk</t>
  </si>
  <si>
    <t>704-358-5703</t>
  </si>
  <si>
    <t>Cristina</t>
  </si>
  <si>
    <t>Bolling</t>
  </si>
  <si>
    <t>Reporter (Style)</t>
  </si>
  <si>
    <t>704-358-5040</t>
  </si>
  <si>
    <t>Theoden</t>
  </si>
  <si>
    <t>Janes</t>
  </si>
  <si>
    <t>Reporter (Pop Culture)</t>
  </si>
  <si>
    <t>704-358-5897</t>
  </si>
  <si>
    <t xml:space="preserve">Cliff </t>
  </si>
  <si>
    <t>Harrington</t>
  </si>
  <si>
    <t>Regional Publications Editor</t>
  </si>
  <si>
    <t>704-358-6048</t>
  </si>
  <si>
    <t>localnews@charlotteobserver.com</t>
  </si>
  <si>
    <t>opinion@charlotteobserver.com</t>
  </si>
  <si>
    <t>Gunn</t>
  </si>
  <si>
    <t>150 W. Brambleton Ave.</t>
  </si>
  <si>
    <t>Norfolk</t>
  </si>
  <si>
    <t>N/A</t>
  </si>
  <si>
    <t>VA</t>
  </si>
  <si>
    <t>757-446-2321</t>
  </si>
  <si>
    <t>Rocky Mount Telegram</t>
  </si>
  <si>
    <t>Wilson</t>
  </si>
  <si>
    <t xml:space="preserve">1000 Hunter Hill Road </t>
  </si>
  <si>
    <t>Rocky Mount</t>
  </si>
  <si>
    <t>Nash</t>
  </si>
  <si>
    <t>252-407-9967</t>
  </si>
  <si>
    <t>Jeff</t>
  </si>
  <si>
    <t>Herrin</t>
  </si>
  <si>
    <t>252-407-9943</t>
  </si>
  <si>
    <t>Lindell John</t>
  </si>
  <si>
    <t>Kay</t>
  </si>
  <si>
    <t>252-407-9956</t>
  </si>
  <si>
    <t>Corey</t>
  </si>
  <si>
    <t>Business Reporter</t>
  </si>
  <si>
    <t>252-407-9962</t>
  </si>
  <si>
    <t>Amelia</t>
  </si>
  <si>
    <t>Harper</t>
  </si>
  <si>
    <t>252-407-9950</t>
  </si>
  <si>
    <t>Newsoom</t>
  </si>
  <si>
    <t>252-407-9907</t>
  </si>
  <si>
    <t>Star-News</t>
  </si>
  <si>
    <t>1003 S. 17th St.</t>
  </si>
  <si>
    <t>Wilmington</t>
  </si>
  <si>
    <t>New Hanover</t>
  </si>
  <si>
    <t>910-343-2209</t>
  </si>
  <si>
    <t>Pam</t>
  </si>
  <si>
    <t>Sander</t>
  </si>
  <si>
    <t>910-343-2377</t>
  </si>
  <si>
    <t>910-343-2378</t>
  </si>
  <si>
    <t>Gareth</t>
  </si>
  <si>
    <t>McGrath</t>
  </si>
  <si>
    <t>Local News Editor</t>
  </si>
  <si>
    <t>910-343-2384</t>
  </si>
  <si>
    <t xml:space="preserve">Scott </t>
  </si>
  <si>
    <t>Nunn</t>
  </si>
  <si>
    <t>Editorial Coordinator</t>
  </si>
  <si>
    <t>910-343-2379</t>
  </si>
  <si>
    <t>Si</t>
  </si>
  <si>
    <t>Cantwell</t>
  </si>
  <si>
    <t>Columnist and Community News Editor</t>
  </si>
  <si>
    <t>910-343-2364</t>
  </si>
  <si>
    <t>Buckland</t>
  </si>
  <si>
    <t>Reporter (State Politics and New Hanover County)</t>
  </si>
  <si>
    <t>910-343-2217</t>
  </si>
  <si>
    <t>Morris</t>
  </si>
  <si>
    <t>Reporter (Food and Dining)</t>
  </si>
  <si>
    <t xml:space="preserve">910-343-2096 </t>
  </si>
  <si>
    <t xml:space="preserve">F.T. </t>
  </si>
  <si>
    <t>Norton</t>
  </si>
  <si>
    <t>Reporter (Public Safety, Courts)</t>
  </si>
  <si>
    <t>910-343-2070</t>
  </si>
  <si>
    <t>Hunter</t>
  </si>
  <si>
    <t>Ingram</t>
  </si>
  <si>
    <t>Reporter (Audience Development)</t>
  </si>
  <si>
    <t xml:space="preserve">Wilmington </t>
  </si>
  <si>
    <t>910-343-2327</t>
  </si>
  <si>
    <t>Cammie</t>
  </si>
  <si>
    <t>Bellamy</t>
  </si>
  <si>
    <t>910-343-2339</t>
  </si>
  <si>
    <t>Wagner</t>
  </si>
  <si>
    <t>Reporter (Coastal Issues)</t>
  </si>
  <si>
    <t>910-343-2389</t>
  </si>
  <si>
    <t>Staton</t>
  </si>
  <si>
    <t>Editor and Reporter (Arts and Entertainment)</t>
  </si>
  <si>
    <t>910-343-2343</t>
  </si>
  <si>
    <t>News Tips</t>
  </si>
  <si>
    <t>910-343-2000</t>
  </si>
  <si>
    <t xml:space="preserve">Star-News </t>
  </si>
  <si>
    <t>919-343-2000</t>
  </si>
  <si>
    <t>Jacksonville Daily News</t>
  </si>
  <si>
    <t>Publisher/Executive Editor</t>
  </si>
  <si>
    <t>724 Bell Fork Rd.</t>
  </si>
  <si>
    <t>Jacksonville</t>
  </si>
  <si>
    <t>Onslow</t>
  </si>
  <si>
    <t>910-219-8400</t>
  </si>
  <si>
    <t>Anita</t>
  </si>
  <si>
    <t>Perrin</t>
  </si>
  <si>
    <t>910-219-8451</t>
  </si>
  <si>
    <t>chris.segal@JDNews.com</t>
  </si>
  <si>
    <t>910-219-8450</t>
  </si>
  <si>
    <t>Humphrey</t>
  </si>
  <si>
    <t>910-219-8439</t>
  </si>
  <si>
    <t>Jannette</t>
  </si>
  <si>
    <t>Pippin</t>
  </si>
  <si>
    <t>910-382-2557</t>
  </si>
  <si>
    <t>Thames</t>
  </si>
  <si>
    <t xml:space="preserve">Reporter (Crime, Police) </t>
  </si>
  <si>
    <t>N.C.</t>
  </si>
  <si>
    <t>910-219-8467</t>
  </si>
  <si>
    <t>910-353-1171</t>
  </si>
  <si>
    <t>Kelsey</t>
  </si>
  <si>
    <t>Stiglitz</t>
  </si>
  <si>
    <t>KStiglitz@JDNews.com</t>
  </si>
  <si>
    <t>910-219-8453</t>
  </si>
  <si>
    <t>News &amp; Observer</t>
  </si>
  <si>
    <t>Orange-Durham Editor</t>
  </si>
  <si>
    <t>505 W. Franklin St.</t>
  </si>
  <si>
    <t>Chapel Hill</t>
  </si>
  <si>
    <t>Orange</t>
  </si>
  <si>
    <t>919-932-2003</t>
  </si>
  <si>
    <t>Ron</t>
  </si>
  <si>
    <t>Gallagher</t>
  </si>
  <si>
    <t>Reporter (Police, Traffic, Weather)</t>
  </si>
  <si>
    <t>919-829-4572</t>
  </si>
  <si>
    <t>Daily Advance</t>
  </si>
  <si>
    <t>Julian</t>
  </si>
  <si>
    <t>Eure</t>
  </si>
  <si>
    <t>215 S. Water Street</t>
  </si>
  <si>
    <t>Elizabeth City</t>
  </si>
  <si>
    <t>Pasquotank</t>
  </si>
  <si>
    <t>252-335-8116</t>
  </si>
  <si>
    <t>Day</t>
  </si>
  <si>
    <t>Multimedia Editor</t>
  </si>
  <si>
    <t>252-335-8114</t>
  </si>
  <si>
    <t>William</t>
  </si>
  <si>
    <t>West</t>
  </si>
  <si>
    <t>Reporter (Crime and Business)</t>
  </si>
  <si>
    <t>252-335-8118</t>
  </si>
  <si>
    <t>Hawley</t>
  </si>
  <si>
    <t>Reporter (City and County)</t>
  </si>
  <si>
    <t>252-335-8119</t>
  </si>
  <si>
    <t>Cindy</t>
  </si>
  <si>
    <t>Beamon</t>
  </si>
  <si>
    <t>Albermarle Life Editor</t>
  </si>
  <si>
    <t>252-335-8121</t>
  </si>
  <si>
    <t>elizabethcity@dailyadvance.com</t>
  </si>
  <si>
    <t>252-335-8076</t>
  </si>
  <si>
    <t>Daily-Advance</t>
  </si>
  <si>
    <t>Goodman</t>
  </si>
  <si>
    <t>252-335-8107</t>
  </si>
  <si>
    <t>jeure@dailyadvance.com</t>
  </si>
  <si>
    <t>Daily Reflector</t>
  </si>
  <si>
    <t>Cooke</t>
  </si>
  <si>
    <t>jcooke@reflector.com</t>
  </si>
  <si>
    <t>1150 Sugg Parkway</t>
  </si>
  <si>
    <t>Greenville</t>
  </si>
  <si>
    <t>Pitt</t>
  </si>
  <si>
    <t>252-329-9564</t>
  </si>
  <si>
    <t>Abramowitz</t>
  </si>
  <si>
    <t>Reporter: Business, ECU, Health</t>
  </si>
  <si>
    <t>mabramowitz@reflector.com</t>
  </si>
  <si>
    <t>252-329-9507</t>
  </si>
  <si>
    <t xml:space="preserve">Bobby </t>
  </si>
  <si>
    <t>Burns</t>
  </si>
  <si>
    <t>Executive Editor, Opinion</t>
  </si>
  <si>
    <t>252-329-9572</t>
  </si>
  <si>
    <t>Ginger</t>
  </si>
  <si>
    <t>Livingston</t>
  </si>
  <si>
    <t>Reporter (Senior Reporter)</t>
  </si>
  <si>
    <t>glivingston@reflector.com</t>
  </si>
  <si>
    <t>252-329-9570</t>
  </si>
  <si>
    <t>Brian</t>
  </si>
  <si>
    <t>Wudkwych</t>
  </si>
  <si>
    <t>Reporter: Education</t>
  </si>
  <si>
    <t>bwudkwych@reflector.com</t>
  </si>
  <si>
    <t>252-329-9567</t>
  </si>
  <si>
    <t>Seth Thomas</t>
  </si>
  <si>
    <t>Gulledge</t>
  </si>
  <si>
    <t>@gullledgeseth</t>
  </si>
  <si>
    <t>sgulledge@reflector.com</t>
  </si>
  <si>
    <t>252-329-9579</t>
  </si>
  <si>
    <t>Beth</t>
  </si>
  <si>
    <t>Velliquette</t>
  </si>
  <si>
    <t>Court Reporter</t>
  </si>
  <si>
    <t>252-329-9585</t>
  </si>
  <si>
    <t>@reflectornews</t>
  </si>
  <si>
    <t>reflector.letters@reflector.com</t>
  </si>
  <si>
    <t>252-752-6166</t>
  </si>
  <si>
    <t>Tryon Daily Bulletin</t>
  </si>
  <si>
    <t>Betty</t>
  </si>
  <si>
    <t>Ramsey</t>
  </si>
  <si>
    <t>16 N. Trade St.</t>
  </si>
  <si>
    <t>Tryon</t>
  </si>
  <si>
    <t>Polk</t>
  </si>
  <si>
    <t>828 859-9151</t>
  </si>
  <si>
    <t>Claire</t>
  </si>
  <si>
    <t>Sachse</t>
  </si>
  <si>
    <t>828-859-9151</t>
  </si>
  <si>
    <t>Leah</t>
  </si>
  <si>
    <t>Justice</t>
  </si>
  <si>
    <t>Courier-Tribune</t>
  </si>
  <si>
    <t>500 Sunset Ave.</t>
  </si>
  <si>
    <t>Asheboro</t>
  </si>
  <si>
    <t>Randolph</t>
  </si>
  <si>
    <t>336-626-6147</t>
  </si>
  <si>
    <t>Annette</t>
  </si>
  <si>
    <t>General Editor</t>
  </si>
  <si>
    <t>336-626-6115</t>
  </si>
  <si>
    <t>Penkava</t>
  </si>
  <si>
    <t>Judi</t>
  </si>
  <si>
    <t>Brinegar</t>
  </si>
  <si>
    <t>Chip</t>
  </si>
  <si>
    <t>Womick</t>
  </si>
  <si>
    <t>336-626-6122</t>
  </si>
  <si>
    <t>336-625-2101</t>
  </si>
  <si>
    <t>Richmond County Daily Journal</t>
  </si>
  <si>
    <t>Will</t>
  </si>
  <si>
    <t>Toler</t>
  </si>
  <si>
    <t>105 E. Washington St</t>
  </si>
  <si>
    <t>Rockingham</t>
  </si>
  <si>
    <t>Richmond</t>
  </si>
  <si>
    <t>910-817-2675</t>
  </si>
  <si>
    <t>Christine</t>
  </si>
  <si>
    <t>Carroll</t>
  </si>
  <si>
    <t>910-817-2673</t>
  </si>
  <si>
    <t>910-997-3111</t>
  </si>
  <si>
    <t>Robesonian</t>
  </si>
  <si>
    <t>Denise</t>
  </si>
  <si>
    <t>2175 N. Roberts Ave.</t>
  </si>
  <si>
    <t>Lumberton</t>
  </si>
  <si>
    <t>Robeson</t>
  </si>
  <si>
    <t>910-416-5867</t>
  </si>
  <si>
    <t>Donnie</t>
  </si>
  <si>
    <t>910-416-5649</t>
  </si>
  <si>
    <t xml:space="preserve">Bob </t>
  </si>
  <si>
    <t>Shiles</t>
  </si>
  <si>
    <t>Reporter (County, Politics)</t>
  </si>
  <si>
    <t>910-416-5165</t>
  </si>
  <si>
    <t>TC</t>
  </si>
  <si>
    <t>910-816-1989</t>
  </si>
  <si>
    <t>910-739-4322</t>
  </si>
  <si>
    <t>Salisbury Post</t>
  </si>
  <si>
    <t>Anderson</t>
  </si>
  <si>
    <t>131 W. Innes St.</t>
  </si>
  <si>
    <t>Salisbury</t>
  </si>
  <si>
    <t>Rowan</t>
  </si>
  <si>
    <t>Elizabeth</t>
  </si>
  <si>
    <t>Cook</t>
  </si>
  <si>
    <t>704-797-4244</t>
  </si>
  <si>
    <t>Deirdre</t>
  </si>
  <si>
    <t>Smith</t>
  </si>
  <si>
    <t>Web editor/Lifestyles</t>
  </si>
  <si>
    <t>704-797-4252</t>
  </si>
  <si>
    <t>Wineka</t>
  </si>
  <si>
    <t>Shavonne</t>
  </si>
  <si>
    <t>Walker</t>
  </si>
  <si>
    <t>704-797-4253</t>
  </si>
  <si>
    <t>704-633-8950</t>
  </si>
  <si>
    <t xml:space="preserve">Salisbury </t>
  </si>
  <si>
    <t>Daily Courier</t>
  </si>
  <si>
    <t>Lori</t>
  </si>
  <si>
    <t>Spurling</t>
  </si>
  <si>
    <t>601 Oak St.</t>
  </si>
  <si>
    <t>Forest City</t>
  </si>
  <si>
    <t>Rutherford</t>
  </si>
  <si>
    <t>828-202-2926</t>
  </si>
  <si>
    <t>Jean</t>
  </si>
  <si>
    <t>828-202-2927</t>
  </si>
  <si>
    <t>MacKenzie</t>
  </si>
  <si>
    <t>Wicker</t>
  </si>
  <si>
    <t>mwicker@thedigitalcourier.com</t>
  </si>
  <si>
    <t>828-202-2904</t>
  </si>
  <si>
    <t>828-202-2910</t>
  </si>
  <si>
    <t>News tips</t>
  </si>
  <si>
    <t>828-245-6431</t>
  </si>
  <si>
    <t>Sampson Independent</t>
  </si>
  <si>
    <t>Matthews</t>
  </si>
  <si>
    <t>Publisher, Editor</t>
  </si>
  <si>
    <t>109 W. Main Street</t>
  </si>
  <si>
    <t>Clinton</t>
  </si>
  <si>
    <t>Sampson</t>
  </si>
  <si>
    <t>910-249-4612</t>
  </si>
  <si>
    <t>Berendt</t>
  </si>
  <si>
    <t>910-249-4616</t>
  </si>
  <si>
    <t>Chase</t>
  </si>
  <si>
    <t>910-249-4617</t>
  </si>
  <si>
    <t>Kristy</t>
  </si>
  <si>
    <t>Carter</t>
  </si>
  <si>
    <t>910-592-8137 ext. 2588</t>
  </si>
  <si>
    <t>910-592-8137</t>
  </si>
  <si>
    <t>Rachael</t>
  </si>
  <si>
    <t>Raney</t>
  </si>
  <si>
    <t>919-718-1234</t>
  </si>
  <si>
    <t>Mount Airy News</t>
  </si>
  <si>
    <t>Clausen</t>
  </si>
  <si>
    <t>Regional Publisher</t>
  </si>
  <si>
    <t>319 N. Renfro St.</t>
  </si>
  <si>
    <t>Mount Airy</t>
  </si>
  <si>
    <t>Surry</t>
  </si>
  <si>
    <t>336-415-4681</t>
  </si>
  <si>
    <t>Peters</t>
  </si>
  <si>
    <t>Regional Editor</t>
  </si>
  <si>
    <t>336-719-1931</t>
  </si>
  <si>
    <t>Linville</t>
  </si>
  <si>
    <t>Associate Editor</t>
  </si>
  <si>
    <t>336-719-1929</t>
  </si>
  <si>
    <t>336-415-4693</t>
  </si>
  <si>
    <t>Winemiller</t>
  </si>
  <si>
    <t>336-415-4698</t>
  </si>
  <si>
    <t>http://mtairynews.com/formeditor</t>
  </si>
  <si>
    <t>EFE Hispanic News Agency, North and South Carolina</t>
  </si>
  <si>
    <t>Alexandra</t>
  </si>
  <si>
    <t>Vilchez</t>
  </si>
  <si>
    <t>2109 Broad Plum Lane</t>
  </si>
  <si>
    <t>Indian Trail</t>
  </si>
  <si>
    <t>Union</t>
  </si>
  <si>
    <t>704-258-7310</t>
  </si>
  <si>
    <t>Enquirer Journal</t>
  </si>
  <si>
    <t>Dale</t>
  </si>
  <si>
    <t>Morefield</t>
  </si>
  <si>
    <t>500 W. Jefferson St.</t>
  </si>
  <si>
    <t>Monroe</t>
  </si>
  <si>
    <t>704-261-2200</t>
  </si>
  <si>
    <t>Jerry</t>
  </si>
  <si>
    <t>Snow</t>
  </si>
  <si>
    <t>704-261-2220</t>
  </si>
  <si>
    <t>Carolyn</t>
  </si>
  <si>
    <t>Steeves</t>
  </si>
  <si>
    <t>704-261-2229</t>
  </si>
  <si>
    <t>704-289-1541</t>
  </si>
  <si>
    <t>Daily Dispatch</t>
  </si>
  <si>
    <t>Wykle</t>
  </si>
  <si>
    <t>304 S. Chestnut St.</t>
  </si>
  <si>
    <t>Vance</t>
  </si>
  <si>
    <t>252-436-2831</t>
  </si>
  <si>
    <t>Nguyen</t>
  </si>
  <si>
    <t>252-436-2850</t>
  </si>
  <si>
    <t>Ryan</t>
  </si>
  <si>
    <t>Hedrick</t>
  </si>
  <si>
    <t>Reporter (City Government, Courts/crime)</t>
  </si>
  <si>
    <t>252-436-2839</t>
  </si>
  <si>
    <t>Miles</t>
  </si>
  <si>
    <t>Bates</t>
  </si>
  <si>
    <t>Reporter (Education, Vance County)</t>
  </si>
  <si>
    <t>252-436-2837</t>
  </si>
  <si>
    <t>David</t>
  </si>
  <si>
    <t>Irvine</t>
  </si>
  <si>
    <t>Reporter (Warren, Granville counties)</t>
  </si>
  <si>
    <t>252-436-2838</t>
  </si>
  <si>
    <t>252-436-2700</t>
  </si>
  <si>
    <t>Associated Press</t>
  </si>
  <si>
    <t>apraleigh@ap.org</t>
  </si>
  <si>
    <t>4800 Six Forks Rd, Suite 210</t>
  </si>
  <si>
    <t>Raleigh</t>
  </si>
  <si>
    <t>Wake</t>
  </si>
  <si>
    <t>919-510-8937</t>
  </si>
  <si>
    <t>Newsworthy Events</t>
  </si>
  <si>
    <t>southdaybook@ap.org</t>
  </si>
  <si>
    <t>Capitol Broadcasting Company</t>
  </si>
  <si>
    <t>Effron</t>
  </si>
  <si>
    <t>2619 Western Blvd</t>
  </si>
  <si>
    <t>919 744-3158</t>
  </si>
  <si>
    <t>Cary News</t>
  </si>
  <si>
    <t>Henry</t>
  </si>
  <si>
    <t>Gargan</t>
  </si>
  <si>
    <t>Reporter (Southwest Wake)</t>
  </si>
  <si>
    <t xml:space="preserve">122 E. Chatham St. </t>
  </si>
  <si>
    <t>Cary</t>
  </si>
  <si>
    <t>919-460-2604</t>
  </si>
  <si>
    <t>NC Policy Watch</t>
  </si>
  <si>
    <t>Billy</t>
  </si>
  <si>
    <t>Ball</t>
  </si>
  <si>
    <t>@NCPolicyWatch</t>
  </si>
  <si>
    <t>224 S. Dawson St.</t>
  </si>
  <si>
    <t>919-861-1460</t>
  </si>
  <si>
    <t>Fitzsimon</t>
  </si>
  <si>
    <t>chris@ncpolicywatch.com</t>
  </si>
  <si>
    <t>919-861-2066</t>
  </si>
  <si>
    <t>Killian</t>
  </si>
  <si>
    <t>919-861-2065</t>
  </si>
  <si>
    <t>Rob</t>
  </si>
  <si>
    <t>Schofield</t>
  </si>
  <si>
    <t>Director of Research and Policy Development</t>
  </si>
  <si>
    <t>rob@ncpolicywatch.com</t>
  </si>
  <si>
    <t>Sorg</t>
  </si>
  <si>
    <t>Reporter (Environment)</t>
  </si>
  <si>
    <t xml:space="preserve">Melissa </t>
  </si>
  <si>
    <t>Boughton</t>
  </si>
  <si>
    <t>919-861-1454</t>
  </si>
  <si>
    <t>Drescher</t>
  </si>
  <si>
    <t>215 S. McDowell St.</t>
  </si>
  <si>
    <t>919-829-4515</t>
  </si>
  <si>
    <t xml:space="preserve">Sara </t>
  </si>
  <si>
    <t>Dan</t>
  </si>
  <si>
    <t>Barkin</t>
  </si>
  <si>
    <t>Senior Editor/Online</t>
  </si>
  <si>
    <t>919-829-4562</t>
  </si>
  <si>
    <t>Ned</t>
  </si>
  <si>
    <t>Barnett</t>
  </si>
  <si>
    <t>Wake County Editor</t>
  </si>
  <si>
    <t>919-829-8955</t>
  </si>
  <si>
    <t>Deputy Editorial Page Editor</t>
  </si>
  <si>
    <t>919-829-4513</t>
  </si>
  <si>
    <t>Burgetta</t>
  </si>
  <si>
    <t>Letters Editor</t>
  </si>
  <si>
    <t>919-829-4825</t>
  </si>
  <si>
    <t>Mary</t>
  </si>
  <si>
    <t>Cornatzer</t>
  </si>
  <si>
    <t>Business/Capitol</t>
  </si>
  <si>
    <t>919-829-4755</t>
  </si>
  <si>
    <t>Thad</t>
  </si>
  <si>
    <t>Ogburn</t>
  </si>
  <si>
    <t>919-829-8987</t>
  </si>
  <si>
    <t xml:space="preserve">Richard </t>
  </si>
  <si>
    <t>Stradling</t>
  </si>
  <si>
    <t>Deputy Metro Editor</t>
  </si>
  <si>
    <t>Deborah</t>
  </si>
  <si>
    <t>Night Metro Editor</t>
  </si>
  <si>
    <t>919-829-8920</t>
  </si>
  <si>
    <t>Murawski</t>
  </si>
  <si>
    <t>Reporter (Telecom, Utilities, Energy)</t>
  </si>
  <si>
    <t xml:space="preserve">919-829-8932 </t>
  </si>
  <si>
    <t xml:space="preserve">Virginia </t>
  </si>
  <si>
    <t>Reporter (Durham)</t>
  </si>
  <si>
    <t xml:space="preserve">919-829-8917 </t>
  </si>
  <si>
    <t>Frederick</t>
  </si>
  <si>
    <t>Digital Managing Editor</t>
  </si>
  <si>
    <t>919-829-8956</t>
  </si>
  <si>
    <t>Jane</t>
  </si>
  <si>
    <t>Stancill</t>
  </si>
  <si>
    <t>919-829-4559</t>
  </si>
  <si>
    <t>Josh</t>
  </si>
  <si>
    <t>Shaffer</t>
  </si>
  <si>
    <t>919-829-4818</t>
  </si>
  <si>
    <t>T. Keung</t>
  </si>
  <si>
    <t>Hui</t>
  </si>
  <si>
    <t>Reporter (Wake Schools)</t>
  </si>
  <si>
    <t>919-829-4534</t>
  </si>
  <si>
    <t>Thomas</t>
  </si>
  <si>
    <t>McDonald</t>
  </si>
  <si>
    <t>919-829-4533</t>
  </si>
  <si>
    <t>Anne</t>
  </si>
  <si>
    <t>Blythe</t>
  </si>
  <si>
    <t>Reporter (Wake Courts)</t>
  </si>
  <si>
    <t>919-836-4948</t>
  </si>
  <si>
    <t>Lynn</t>
  </si>
  <si>
    <t>Bonner</t>
  </si>
  <si>
    <t>Reporter (Education, Environment, DHHS)</t>
  </si>
  <si>
    <t>919-829-4821</t>
  </si>
  <si>
    <t>Craig</t>
  </si>
  <si>
    <t>Jarvis</t>
  </si>
  <si>
    <t>Reporter (State Government)</t>
  </si>
  <si>
    <t xml:space="preserve">919-829-4821 </t>
  </si>
  <si>
    <t>Christensen</t>
  </si>
  <si>
    <t xml:space="preserve">Politics Columnist </t>
  </si>
  <si>
    <t>919-829-4532</t>
  </si>
  <si>
    <t>Kane</t>
  </si>
  <si>
    <t>919-829-4861</t>
  </si>
  <si>
    <t>Martha</t>
  </si>
  <si>
    <t>Quillin</t>
  </si>
  <si>
    <t xml:space="preserve">Reporter (Enterprise) </t>
  </si>
  <si>
    <t>919-829-8989</t>
  </si>
  <si>
    <t>Brooke</t>
  </si>
  <si>
    <t>Cain</t>
  </si>
  <si>
    <t>Entertainment/Home Editor</t>
  </si>
  <si>
    <t>919-829-4579</t>
  </si>
  <si>
    <t>Bob</t>
  </si>
  <si>
    <t>Brueckner</t>
  </si>
  <si>
    <t>Digital Content Producer</t>
  </si>
  <si>
    <t>919-836-2886</t>
  </si>
  <si>
    <t>Roman</t>
  </si>
  <si>
    <t>919-836-4973</t>
  </si>
  <si>
    <t>Bolejack</t>
  </si>
  <si>
    <t>Editor (Smithfield/Clayton)</t>
  </si>
  <si>
    <t>Abbie</t>
  </si>
  <si>
    <t>Bennett</t>
  </si>
  <si>
    <t>Reporter (Smithfield)</t>
  </si>
  <si>
    <t>Reporter (Clayton)</t>
  </si>
  <si>
    <t>Menconi</t>
  </si>
  <si>
    <t>Reporter (Music)</t>
  </si>
  <si>
    <t>919-829-4759</t>
  </si>
  <si>
    <t>Sarah</t>
  </si>
  <si>
    <t>Nagem</t>
  </si>
  <si>
    <t>Editor (Midtown, North Raleigh News weeklies)</t>
  </si>
  <si>
    <t xml:space="preserve">215 S. McDowell St. </t>
  </si>
  <si>
    <t>919-460-2605</t>
  </si>
  <si>
    <t>Jonathan</t>
  </si>
  <si>
    <t>Reporter (Garner)</t>
  </si>
  <si>
    <t>919-829-4822</t>
  </si>
  <si>
    <t>Banov</t>
  </si>
  <si>
    <t>Editor (Food and Dining)</t>
  </si>
  <si>
    <t>Specht</t>
  </si>
  <si>
    <t>Reporter (Raleigh/Wake County)</t>
  </si>
  <si>
    <t>919-460-2608</t>
  </si>
  <si>
    <t>Online News</t>
  </si>
  <si>
    <t>919-829-4500</t>
  </si>
  <si>
    <t>Barry</t>
  </si>
  <si>
    <t>Saunders</t>
  </si>
  <si>
    <t>Columnist (Metro)</t>
  </si>
  <si>
    <t>@BarrySaunders9</t>
  </si>
  <si>
    <t>919-836-2811</t>
  </si>
  <si>
    <t>North State Journal</t>
  </si>
  <si>
    <t>Elliot</t>
  </si>
  <si>
    <t>819 West Hargett Street</t>
  </si>
  <si>
    <t>866-458-7184</t>
  </si>
  <si>
    <t>King</t>
  </si>
  <si>
    <t>Neal</t>
  </si>
  <si>
    <t>Robbins</t>
  </si>
  <si>
    <t>Wood</t>
  </si>
  <si>
    <t>Features Editor</t>
  </si>
  <si>
    <t>Triangle Downtowner Magazine</t>
  </si>
  <si>
    <t>Crash</t>
  </si>
  <si>
    <t>Gregg</t>
  </si>
  <si>
    <t>P.O. Box 27603</t>
  </si>
  <si>
    <t>919-828-8000</t>
  </si>
  <si>
    <t>WRAL.com</t>
  </si>
  <si>
    <t>Medlin</t>
  </si>
  <si>
    <t>dmedlin@wral.com.</t>
  </si>
  <si>
    <t>(919) 890-6000</t>
  </si>
  <si>
    <t>Tyler</t>
  </si>
  <si>
    <t>Dukes</t>
  </si>
  <si>
    <t>919 890-6000</t>
  </si>
  <si>
    <t>Goldsboro Daily</t>
  </si>
  <si>
    <t>Vick</t>
  </si>
  <si>
    <t>http://goldsborodailynews.com/</t>
  </si>
  <si>
    <t>Goldsboro</t>
  </si>
  <si>
    <t>Wayne</t>
  </si>
  <si>
    <t>919-394-1750</t>
  </si>
  <si>
    <t>Goldsboro News-Argus</t>
  </si>
  <si>
    <t>Hal</t>
  </si>
  <si>
    <t>Tanner III</t>
  </si>
  <si>
    <t>310 N. Berkeley Blvd.</t>
  </si>
  <si>
    <t>919-778-2211</t>
  </si>
  <si>
    <t>Dennis</t>
  </si>
  <si>
    <t>Hill</t>
  </si>
  <si>
    <t>919-739-7791</t>
  </si>
  <si>
    <t>Becky</t>
  </si>
  <si>
    <t>Barclay</t>
  </si>
  <si>
    <t>Lifestyles Editor</t>
  </si>
  <si>
    <t>Keith</t>
  </si>
  <si>
    <t>Assistant News Editor</t>
  </si>
  <si>
    <t>Melinda</t>
  </si>
  <si>
    <t>Harrell</t>
  </si>
  <si>
    <t>Rochelle</t>
  </si>
  <si>
    <t xml:space="preserve">Asst </t>
  </si>
  <si>
    <t>Joey</t>
  </si>
  <si>
    <t>Pitchford</t>
  </si>
  <si>
    <t>Herring</t>
  </si>
  <si>
    <t>Hayes</t>
  </si>
  <si>
    <t>Features and Social Media Editor</t>
  </si>
  <si>
    <t xml:space="preserve">Phyllis </t>
  </si>
  <si>
    <t>Reporter (Education and Health)</t>
  </si>
  <si>
    <t>Wilson Times</t>
  </si>
  <si>
    <t>Morgan</t>
  </si>
  <si>
    <t>Dickerman</t>
  </si>
  <si>
    <t>2001 Downing St.</t>
  </si>
  <si>
    <t>252-265-7802</t>
  </si>
  <si>
    <t>Friedman</t>
  </si>
  <si>
    <t>252-265-7813</t>
  </si>
  <si>
    <t>Batts</t>
  </si>
  <si>
    <t>252-265-7810</t>
  </si>
  <si>
    <t>Olivia</t>
  </si>
  <si>
    <t>Neeley</t>
  </si>
  <si>
    <t>252-265-7879</t>
  </si>
  <si>
    <t>Brie</t>
  </si>
  <si>
    <t>Handgraaf</t>
  </si>
  <si>
    <t>252-265-7821</t>
  </si>
  <si>
    <t>Padgett</t>
  </si>
  <si>
    <t>252-265-8117</t>
  </si>
  <si>
    <t>252-265-7818</t>
  </si>
  <si>
    <t>252-243-5151</t>
  </si>
  <si>
    <t>252-243-7813</t>
  </si>
  <si>
    <t>Carolina Mercury</t>
  </si>
  <si>
    <t>Editor &amp; Publisher</t>
  </si>
  <si>
    <t>http://www.carolinamercury.com/</t>
  </si>
  <si>
    <t>Carpenter</t>
  </si>
  <si>
    <t>scarpenter@thedigitalcourier.com</t>
  </si>
  <si>
    <t>Janet</t>
  </si>
  <si>
    <t>Storm</t>
  </si>
  <si>
    <t>jstorm@reflector.com</t>
  </si>
  <si>
    <t>McClatchy Newspapers</t>
  </si>
  <si>
    <t>Ordonez</t>
  </si>
  <si>
    <t>White House/Immigration Correspondent</t>
  </si>
  <si>
    <t>700 12th St., NW, Suite 1000</t>
  </si>
  <si>
    <t>DC</t>
  </si>
  <si>
    <t>202-383-0010</t>
  </si>
  <si>
    <t>North Carolina News Service/Public News Service</t>
  </si>
  <si>
    <t>800-931-4215</t>
  </si>
  <si>
    <t>Public News Service</t>
  </si>
  <si>
    <t xml:space="preserve">Lark </t>
  </si>
  <si>
    <t>Corbeil</t>
  </si>
  <si>
    <t>Managing Editor/CEO</t>
  </si>
  <si>
    <t xml:space="preserve">3980 Broadway, Suite 103, Box 139 </t>
  </si>
  <si>
    <t>Boulder</t>
  </si>
  <si>
    <t>CO</t>
  </si>
  <si>
    <t>303-448-9105</t>
  </si>
  <si>
    <t>Reuters</t>
  </si>
  <si>
    <t>Colleen</t>
  </si>
  <si>
    <t>colleen.jenkins@thomsonreuters.com</t>
  </si>
  <si>
    <t>Southeast</t>
  </si>
  <si>
    <t>Stateline.org</t>
  </si>
  <si>
    <t>General Contact</t>
  </si>
  <si>
    <t>901 E St. NW</t>
  </si>
  <si>
    <t>202-552-2192</t>
  </si>
  <si>
    <t>Letitia</t>
  </si>
  <si>
    <t>Stein</t>
  </si>
  <si>
    <t>Tampa</t>
  </si>
  <si>
    <t>FL</t>
  </si>
  <si>
    <t>813-310-0904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</si>
</sst>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indexed="8"/>
      <name val="Garamond"/>
    </font>
    <font>
      <sz val="12"/>
      <name val="Garamond"/>
      <family val="1"/>
    </font>
    <font>
      <u/>
      <sz val="12"/>
      <name val="Garamond"/>
      <family val="1"/>
    </font>
    <font>
      <u/>
      <sz val="11"/>
      <color theme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0" borderId="1" xfId="1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hris.segal@JDNews.com" TargetMode="External"/><Relationship Id="rId3" Type="http://schemas.openxmlformats.org/officeDocument/2006/relationships/hyperlink" Target="mailto:bwudkwych@reflector.com" TargetMode="External"/><Relationship Id="rId7" Type="http://schemas.openxmlformats.org/officeDocument/2006/relationships/hyperlink" Target="mailto:mlindberg@rrdailyherald.com" TargetMode="External"/><Relationship Id="rId2" Type="http://schemas.openxmlformats.org/officeDocument/2006/relationships/hyperlink" Target="mailto:glivingston@reflector.com" TargetMode="External"/><Relationship Id="rId1" Type="http://schemas.openxmlformats.org/officeDocument/2006/relationships/hyperlink" Target="http://mtairynews.com/formeditor" TargetMode="External"/><Relationship Id="rId6" Type="http://schemas.openxmlformats.org/officeDocument/2006/relationships/hyperlink" Target="mailto:mwicker@thedigitalcourier.com" TargetMode="External"/><Relationship Id="rId5" Type="http://schemas.openxmlformats.org/officeDocument/2006/relationships/hyperlink" Target="mailto:scarpenter@thedigitalcourier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adouglas@charlotteobserver.com" TargetMode="External"/><Relationship Id="rId9" Type="http://schemas.openxmlformats.org/officeDocument/2006/relationships/hyperlink" Target="mailto:Ken.Buday@newbernsj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9"/>
  <sheetViews>
    <sheetView tabSelected="1" topLeftCell="A355" workbookViewId="0">
      <selection activeCell="A429" sqref="A429"/>
    </sheetView>
  </sheetViews>
  <sheetFormatPr defaultRowHeight="15" x14ac:dyDescent="0.25"/>
  <cols>
    <col min="1" max="1" width="13.42578125" customWidth="1"/>
    <col min="2" max="2" width="15.5703125" customWidth="1"/>
    <col min="3" max="3" width="13.28515625" customWidth="1"/>
    <col min="4" max="4" width="13.42578125" customWidth="1"/>
    <col min="6" max="6" width="17.28515625" customWidth="1"/>
    <col min="7" max="7" width="27.7109375" customWidth="1"/>
    <col min="8" max="8" width="15.42578125" customWidth="1"/>
    <col min="9" max="9" width="19.42578125" customWidth="1"/>
    <col min="10" max="10" width="20.85546875" customWidth="1"/>
    <col min="12" max="12" width="16.85546875" customWidth="1"/>
    <col min="13" max="13" width="19.42578125" customWidth="1"/>
  </cols>
  <sheetData>
    <row r="1" spans="1:13" ht="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63" x14ac:dyDescent="0.25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3" t="str">
        <f>HYPERLINK("https://twitter.com/TNPaulMauney","@TNPaulMauney")</f>
        <v>@TNPaulMauney</v>
      </c>
      <c r="G2" s="4" t="str">
        <f>HYPERLINK("mailto:pmauney@thetimesnews.com","pmauney@thetimesnews.com")</f>
        <v>pmauney@thetimesnews.com</v>
      </c>
      <c r="H2" s="2" t="s">
        <v>18</v>
      </c>
      <c r="I2" s="2" t="s">
        <v>19</v>
      </c>
      <c r="J2" s="2" t="s">
        <v>20</v>
      </c>
      <c r="K2" s="2" t="s">
        <v>21</v>
      </c>
      <c r="L2" s="2">
        <v>28562</v>
      </c>
      <c r="M2" s="2" t="s">
        <v>22</v>
      </c>
    </row>
    <row r="3" spans="1:13" ht="63" x14ac:dyDescent="0.25">
      <c r="A3" s="2" t="s">
        <v>13</v>
      </c>
      <c r="B3" s="2" t="s">
        <v>23</v>
      </c>
      <c r="C3" s="2" t="s">
        <v>24</v>
      </c>
      <c r="D3" s="2" t="s">
        <v>25</v>
      </c>
      <c r="E3" s="2" t="s">
        <v>17</v>
      </c>
      <c r="F3" s="3" t="str">
        <f>HYPERLINK("https://twitter.com/editorrjackson?lang=en","@EditorRjackson")</f>
        <v>@EditorRjackson</v>
      </c>
      <c r="G3" s="3" t="str">
        <f>HYPERLINK("mailto:rich.jackson@thetimesnews.com","rich.jackson@thetimesnews.com")</f>
        <v>rich.jackson@thetimesnews.com</v>
      </c>
      <c r="H3" s="2" t="s">
        <v>18</v>
      </c>
      <c r="I3" s="2" t="s">
        <v>19</v>
      </c>
      <c r="J3" s="2" t="s">
        <v>20</v>
      </c>
      <c r="K3" s="2" t="s">
        <v>21</v>
      </c>
      <c r="L3" s="2">
        <v>27215</v>
      </c>
      <c r="M3" s="2" t="s">
        <v>26</v>
      </c>
    </row>
    <row r="4" spans="1:13" ht="63" x14ac:dyDescent="0.25">
      <c r="A4" s="2" t="s">
        <v>13</v>
      </c>
      <c r="B4" s="2" t="s">
        <v>27</v>
      </c>
      <c r="C4" s="2" t="s">
        <v>28</v>
      </c>
      <c r="D4" s="2" t="s">
        <v>29</v>
      </c>
      <c r="E4" s="2" t="s">
        <v>17</v>
      </c>
      <c r="F4" s="5"/>
      <c r="G4" s="3" t="str">
        <f>HYPERLINK("mailto:tjones@thetimesnews.com","tjones@thetimesnews.com")</f>
        <v>tjones@thetimesnews.com</v>
      </c>
      <c r="H4" s="2" t="s">
        <v>18</v>
      </c>
      <c r="I4" s="2" t="s">
        <v>19</v>
      </c>
      <c r="J4" s="2" t="s">
        <v>20</v>
      </c>
      <c r="K4" s="2" t="s">
        <v>21</v>
      </c>
      <c r="L4" s="2">
        <v>27215</v>
      </c>
      <c r="M4" s="2" t="s">
        <v>30</v>
      </c>
    </row>
    <row r="5" spans="1:13" ht="63" x14ac:dyDescent="0.25">
      <c r="A5" s="2" t="s">
        <v>13</v>
      </c>
      <c r="B5" s="2" t="s">
        <v>31</v>
      </c>
      <c r="C5" s="2" t="s">
        <v>32</v>
      </c>
      <c r="D5" s="2" t="s">
        <v>33</v>
      </c>
      <c r="E5" s="2" t="s">
        <v>17</v>
      </c>
      <c r="F5" s="3" t="str">
        <f>HYPERLINK("https://twitter.com/TNIGroves","@TNIGroves")</f>
        <v>@TNIGroves</v>
      </c>
      <c r="G5" s="3" t="str">
        <f>HYPERLINK("mailto:igroves@thetimesnews.com","igroves@thetimesnews.com")</f>
        <v>igroves@thetimesnews.com</v>
      </c>
      <c r="H5" s="2" t="s">
        <v>18</v>
      </c>
      <c r="I5" s="2" t="s">
        <v>19</v>
      </c>
      <c r="J5" s="2" t="s">
        <v>20</v>
      </c>
      <c r="K5" s="2" t="s">
        <v>21</v>
      </c>
      <c r="L5" s="2">
        <v>27215</v>
      </c>
      <c r="M5" s="2" t="s">
        <v>34</v>
      </c>
    </row>
    <row r="6" spans="1:13" ht="78.75" x14ac:dyDescent="0.25">
      <c r="A6" s="2" t="s">
        <v>13</v>
      </c>
      <c r="B6" s="2" t="s">
        <v>35</v>
      </c>
      <c r="C6" s="2" t="s">
        <v>36</v>
      </c>
      <c r="D6" s="2" t="s">
        <v>33</v>
      </c>
      <c r="E6" s="2" t="s">
        <v>17</v>
      </c>
      <c r="F6" s="6" t="str">
        <f>HYPERLINK("https://twitter.com/jessicawtn","@jessicawtn")</f>
        <v>@jessicawtn</v>
      </c>
      <c r="G6" s="3" t="str">
        <f>HYPERLINK("mailto:jessica.williams@thetimesnews.com","jessica.williams@thetimesnews.com")</f>
        <v>jessica.williams@thetimesnews.com</v>
      </c>
      <c r="H6" s="2" t="s">
        <v>18</v>
      </c>
      <c r="I6" s="2" t="s">
        <v>19</v>
      </c>
      <c r="J6" s="2" t="s">
        <v>20</v>
      </c>
      <c r="K6" s="2" t="s">
        <v>21</v>
      </c>
      <c r="L6" s="2">
        <v>27215</v>
      </c>
      <c r="M6" s="2" t="s">
        <v>34</v>
      </c>
    </row>
    <row r="7" spans="1:13" ht="63" x14ac:dyDescent="0.25">
      <c r="A7" s="2" t="s">
        <v>13</v>
      </c>
      <c r="B7" s="7"/>
      <c r="C7" s="7"/>
      <c r="D7" s="2" t="s">
        <v>37</v>
      </c>
      <c r="E7" s="2" t="s">
        <v>17</v>
      </c>
      <c r="F7" s="3" t="str">
        <f>HYPERLINK("https://twitter.com/thetimesnews","@thetimesnews")</f>
        <v>@thetimesnews</v>
      </c>
      <c r="G7" s="3" t="str">
        <f>HYPERLINK("mailto:rich.jackson@thetimesnews.com","rich.jackson@thetimesnews.com")</f>
        <v>rich.jackson@thetimesnews.com</v>
      </c>
      <c r="H7" s="2" t="s">
        <v>18</v>
      </c>
      <c r="I7" s="2" t="s">
        <v>19</v>
      </c>
      <c r="J7" s="2" t="s">
        <v>20</v>
      </c>
      <c r="K7" s="2" t="s">
        <v>21</v>
      </c>
      <c r="L7" s="2">
        <v>27215</v>
      </c>
      <c r="M7" s="2" t="s">
        <v>34</v>
      </c>
    </row>
    <row r="8" spans="1:13" ht="63" x14ac:dyDescent="0.25">
      <c r="A8" s="2" t="s">
        <v>13</v>
      </c>
      <c r="B8" s="7"/>
      <c r="C8" s="7"/>
      <c r="D8" s="2" t="s">
        <v>38</v>
      </c>
      <c r="E8" s="2" t="s">
        <v>17</v>
      </c>
      <c r="F8" s="3" t="str">
        <f>HYPERLINK("https://twitter.com/thetimesnews","@thetimesnews")</f>
        <v>@thetimesnews</v>
      </c>
      <c r="G8" s="3" t="str">
        <f>HYPERLINK("mailto:rich.jackson@thetimesnews.com","rich.jackson@thetimesnews.com")</f>
        <v>rich.jackson@thetimesnews.com</v>
      </c>
      <c r="H8" s="2" t="s">
        <v>18</v>
      </c>
      <c r="I8" s="2" t="s">
        <v>19</v>
      </c>
      <c r="J8" s="2" t="s">
        <v>20</v>
      </c>
      <c r="K8" s="2" t="s">
        <v>21</v>
      </c>
      <c r="L8" s="2">
        <v>27215</v>
      </c>
      <c r="M8" s="2" t="s">
        <v>34</v>
      </c>
    </row>
    <row r="9" spans="1:13" ht="94.5" x14ac:dyDescent="0.25">
      <c r="A9" s="2" t="s">
        <v>39</v>
      </c>
      <c r="B9" s="2" t="s">
        <v>40</v>
      </c>
      <c r="C9" s="2" t="s">
        <v>41</v>
      </c>
      <c r="D9" s="2" t="s">
        <v>16</v>
      </c>
      <c r="E9" s="2" t="s">
        <v>17</v>
      </c>
      <c r="F9" s="6" t="str">
        <f>HYPERLINK("https://twitter.com/avansant?lang=en","@avansant")</f>
        <v>@avansant</v>
      </c>
      <c r="G9" s="4" t="str">
        <f>HYPERLINK("mailto:ashley.vansant@thewashingtondailynews.com","ashley.vansant@thewashingtondailynews.com")</f>
        <v>ashley.vansant@thewashingtondailynews.com</v>
      </c>
      <c r="H9" s="2" t="s">
        <v>42</v>
      </c>
      <c r="I9" s="2" t="s">
        <v>43</v>
      </c>
      <c r="J9" s="2" t="s">
        <v>44</v>
      </c>
      <c r="K9" s="2" t="s">
        <v>21</v>
      </c>
      <c r="L9" s="2">
        <v>27889</v>
      </c>
      <c r="M9" s="2" t="s">
        <v>45</v>
      </c>
    </row>
    <row r="10" spans="1:13" ht="63" x14ac:dyDescent="0.25">
      <c r="A10" s="2" t="s">
        <v>39</v>
      </c>
      <c r="B10" s="2" t="s">
        <v>46</v>
      </c>
      <c r="C10" s="2" t="s">
        <v>47</v>
      </c>
      <c r="D10" s="2" t="s">
        <v>25</v>
      </c>
      <c r="E10" s="2" t="s">
        <v>17</v>
      </c>
      <c r="F10" s="5"/>
      <c r="G10" s="6" t="str">
        <f>HYPERLINK("mailto:vail.rumley@thewashingtondailynews.com","vail.rumley@thewashingtondailynews.com")</f>
        <v>vail.rumley@thewashingtondailynews.com</v>
      </c>
      <c r="H10" s="2" t="s">
        <v>42</v>
      </c>
      <c r="I10" s="2" t="s">
        <v>43</v>
      </c>
      <c r="J10" s="2" t="s">
        <v>44</v>
      </c>
      <c r="K10" s="2" t="s">
        <v>21</v>
      </c>
      <c r="L10" s="2">
        <v>27889</v>
      </c>
      <c r="M10" s="2" t="s">
        <v>45</v>
      </c>
    </row>
    <row r="11" spans="1:13" ht="78.75" x14ac:dyDescent="0.25">
      <c r="A11" s="2" t="s">
        <v>39</v>
      </c>
      <c r="B11" s="7"/>
      <c r="C11" s="7"/>
      <c r="D11" s="2" t="s">
        <v>37</v>
      </c>
      <c r="E11" s="2" t="s">
        <v>17</v>
      </c>
      <c r="F11" s="3" t="str">
        <f>HYPERLINK("https://twitter.com/WDNweb?ref_src=twsrc%5Egoogle%7Ctwcamp%5Eserp%7Ctwgr%5Eauthor","@WDNweb")</f>
        <v>@WDNweb</v>
      </c>
      <c r="G11" s="3" t="str">
        <f>HYPERLINK("mailto:news@thewashingtondailynews.com","news@thewashingtondailynews.com")</f>
        <v>news@thewashingtondailynews.com</v>
      </c>
      <c r="H11" s="2" t="s">
        <v>42</v>
      </c>
      <c r="I11" s="2" t="s">
        <v>43</v>
      </c>
      <c r="J11" s="2" t="s">
        <v>44</v>
      </c>
      <c r="K11" s="2" t="s">
        <v>21</v>
      </c>
      <c r="L11" s="2">
        <v>27889</v>
      </c>
      <c r="M11" s="2" t="s">
        <v>45</v>
      </c>
    </row>
    <row r="12" spans="1:13" ht="78.75" x14ac:dyDescent="0.25">
      <c r="A12" s="2" t="s">
        <v>39</v>
      </c>
      <c r="B12" s="7"/>
      <c r="C12" s="7"/>
      <c r="D12" s="2" t="s">
        <v>38</v>
      </c>
      <c r="E12" s="2" t="s">
        <v>17</v>
      </c>
      <c r="F12" s="3" t="str">
        <f>HYPERLINK("https://twitter.com/WDNweb?ref_src=twsrc%5Egoogle%7Ctwcamp%5Eserp%7Ctwgr%5Eauthor","@WDNweb")</f>
        <v>@WDNweb</v>
      </c>
      <c r="G12" s="3" t="str">
        <f>HYPERLINK("mailto:news@thewashingtondailynews.com","news@thewashingtondailynews.com")</f>
        <v>news@thewashingtondailynews.com</v>
      </c>
      <c r="H12" s="2" t="s">
        <v>42</v>
      </c>
      <c r="I12" s="2" t="s">
        <v>43</v>
      </c>
      <c r="J12" s="2" t="s">
        <v>44</v>
      </c>
      <c r="K12" s="2" t="s">
        <v>21</v>
      </c>
      <c r="L12" s="2">
        <v>27889</v>
      </c>
      <c r="M12" s="2" t="s">
        <v>45</v>
      </c>
    </row>
    <row r="13" spans="1:13" ht="78.75" x14ac:dyDescent="0.25">
      <c r="A13" s="2" t="s">
        <v>48</v>
      </c>
      <c r="B13" s="2" t="s">
        <v>49</v>
      </c>
      <c r="C13" s="2" t="s">
        <v>50</v>
      </c>
      <c r="D13" s="2" t="s">
        <v>51</v>
      </c>
      <c r="E13" s="2" t="s">
        <v>17</v>
      </c>
      <c r="F13" s="2" t="s">
        <v>52</v>
      </c>
      <c r="G13" s="3" t="str">
        <f>HYPERLINK("mailto:kwadington@citizen-times.com","kwadington@citizen-times.com")</f>
        <v>kwadington@citizen-times.com</v>
      </c>
      <c r="H13" s="2" t="s">
        <v>53</v>
      </c>
      <c r="I13" s="2" t="s">
        <v>54</v>
      </c>
      <c r="J13" s="2" t="s">
        <v>55</v>
      </c>
      <c r="K13" s="2" t="s">
        <v>21</v>
      </c>
      <c r="L13" s="2">
        <v>28801</v>
      </c>
      <c r="M13" s="2" t="s">
        <v>56</v>
      </c>
    </row>
    <row r="14" spans="1:13" ht="63" x14ac:dyDescent="0.25">
      <c r="A14" s="2" t="s">
        <v>48</v>
      </c>
      <c r="B14" s="2" t="s">
        <v>57</v>
      </c>
      <c r="C14" s="2" t="s">
        <v>58</v>
      </c>
      <c r="D14" s="2" t="s">
        <v>59</v>
      </c>
      <c r="E14" s="2" t="s">
        <v>17</v>
      </c>
      <c r="F14" s="2" t="s">
        <v>60</v>
      </c>
      <c r="G14" s="2" t="s">
        <v>61</v>
      </c>
      <c r="H14" s="2" t="s">
        <v>53</v>
      </c>
      <c r="I14" s="2" t="s">
        <v>54</v>
      </c>
      <c r="J14" s="2" t="s">
        <v>55</v>
      </c>
      <c r="K14" s="2" t="s">
        <v>21</v>
      </c>
      <c r="L14" s="2">
        <v>28801</v>
      </c>
      <c r="M14" s="2" t="s">
        <v>62</v>
      </c>
    </row>
    <row r="15" spans="1:13" ht="63" x14ac:dyDescent="0.25">
      <c r="A15" s="2" t="s">
        <v>48</v>
      </c>
      <c r="B15" s="2" t="s">
        <v>63</v>
      </c>
      <c r="C15" s="2" t="s">
        <v>64</v>
      </c>
      <c r="D15" s="2" t="s">
        <v>65</v>
      </c>
      <c r="E15" s="2" t="s">
        <v>17</v>
      </c>
      <c r="F15" s="3" t="str">
        <f>HYPERLINK("https://twitter.com/CaseyBlakeACT","@CaseyBlakeACT")</f>
        <v>@CaseyBlakeACT</v>
      </c>
      <c r="G15" s="3" t="str">
        <f>HYPERLINK("mailto:cblake@citizen-times.com","cblake@citizen-times.com")</f>
        <v>cblake@citizen-times.com</v>
      </c>
      <c r="H15" s="2" t="s">
        <v>53</v>
      </c>
      <c r="I15" s="2" t="s">
        <v>54</v>
      </c>
      <c r="J15" s="2" t="s">
        <v>55</v>
      </c>
      <c r="K15" s="2" t="s">
        <v>21</v>
      </c>
      <c r="L15" s="2">
        <v>28801</v>
      </c>
      <c r="M15" s="2" t="s">
        <v>66</v>
      </c>
    </row>
    <row r="16" spans="1:13" ht="94.5" x14ac:dyDescent="0.25">
      <c r="A16" s="2" t="s">
        <v>48</v>
      </c>
      <c r="B16" s="2" t="s">
        <v>67</v>
      </c>
      <c r="C16" s="2" t="s">
        <v>68</v>
      </c>
      <c r="D16" s="2" t="s">
        <v>69</v>
      </c>
      <c r="E16" s="2" t="s">
        <v>17</v>
      </c>
      <c r="F16" s="5" t="s">
        <v>70</v>
      </c>
      <c r="G16" s="2" t="s">
        <v>71</v>
      </c>
      <c r="H16" s="2" t="s">
        <v>53</v>
      </c>
      <c r="I16" s="2" t="s">
        <v>54</v>
      </c>
      <c r="J16" s="2" t="s">
        <v>55</v>
      </c>
      <c r="K16" s="2" t="s">
        <v>21</v>
      </c>
      <c r="L16" s="2">
        <v>28801</v>
      </c>
      <c r="M16" s="2" t="s">
        <v>72</v>
      </c>
    </row>
    <row r="17" spans="1:13" ht="63" x14ac:dyDescent="0.25">
      <c r="A17" s="2" t="s">
        <v>48</v>
      </c>
      <c r="B17" s="2" t="s">
        <v>73</v>
      </c>
      <c r="C17" s="2" t="s">
        <v>74</v>
      </c>
      <c r="D17" s="2" t="s">
        <v>75</v>
      </c>
      <c r="E17" s="2" t="s">
        <v>17</v>
      </c>
      <c r="F17" s="5" t="s">
        <v>76</v>
      </c>
      <c r="G17" s="2" t="s">
        <v>77</v>
      </c>
      <c r="H17" s="2" t="s">
        <v>53</v>
      </c>
      <c r="I17" s="2" t="s">
        <v>54</v>
      </c>
      <c r="J17" s="2" t="s">
        <v>55</v>
      </c>
      <c r="K17" s="2" t="s">
        <v>21</v>
      </c>
      <c r="L17" s="2">
        <v>28801</v>
      </c>
      <c r="M17" s="2" t="s">
        <v>78</v>
      </c>
    </row>
    <row r="18" spans="1:13" ht="63" x14ac:dyDescent="0.25">
      <c r="A18" s="2" t="s">
        <v>48</v>
      </c>
      <c r="B18" s="2" t="s">
        <v>79</v>
      </c>
      <c r="C18" s="2" t="s">
        <v>80</v>
      </c>
      <c r="D18" s="2" t="s">
        <v>81</v>
      </c>
      <c r="E18" s="2" t="s">
        <v>17</v>
      </c>
      <c r="F18" s="2" t="s">
        <v>82</v>
      </c>
      <c r="G18" s="3" t="str">
        <f>HYPERLINK("mailto:jburgess@citizen-times.com","jburgess@citizen-times.com")</f>
        <v>jburgess@citizen-times.com</v>
      </c>
      <c r="H18" s="2" t="s">
        <v>53</v>
      </c>
      <c r="I18" s="2" t="s">
        <v>54</v>
      </c>
      <c r="J18" s="2" t="s">
        <v>55</v>
      </c>
      <c r="K18" s="2" t="s">
        <v>21</v>
      </c>
      <c r="L18" s="2">
        <v>28801</v>
      </c>
      <c r="M18" s="2" t="s">
        <v>83</v>
      </c>
    </row>
    <row r="19" spans="1:13" ht="47.25" x14ac:dyDescent="0.25">
      <c r="A19" s="2" t="s">
        <v>48</v>
      </c>
      <c r="B19" s="2" t="s">
        <v>84</v>
      </c>
      <c r="C19" s="2" t="s">
        <v>85</v>
      </c>
      <c r="D19" s="2" t="s">
        <v>86</v>
      </c>
      <c r="E19" s="2" t="s">
        <v>17</v>
      </c>
      <c r="F19" s="5" t="s">
        <v>87</v>
      </c>
      <c r="G19" s="3" t="str">
        <f>HYPERLINK("mailto:kchavez@citizen-times.com","kchavez@citizen-times.com")</f>
        <v>kchavez@citizen-times.com</v>
      </c>
      <c r="H19" s="2" t="s">
        <v>53</v>
      </c>
      <c r="I19" s="2" t="s">
        <v>54</v>
      </c>
      <c r="J19" s="2" t="s">
        <v>55</v>
      </c>
      <c r="K19" s="2" t="s">
        <v>21</v>
      </c>
      <c r="L19" s="2">
        <v>28801</v>
      </c>
      <c r="M19" s="2" t="s">
        <v>88</v>
      </c>
    </row>
    <row r="20" spans="1:13" ht="78.75" x14ac:dyDescent="0.25">
      <c r="A20" s="2" t="s">
        <v>48</v>
      </c>
      <c r="B20" s="2" t="s">
        <v>89</v>
      </c>
      <c r="C20" s="2" t="s">
        <v>90</v>
      </c>
      <c r="D20" s="2" t="s">
        <v>91</v>
      </c>
      <c r="E20" s="2" t="s">
        <v>17</v>
      </c>
      <c r="F20" s="2" t="s">
        <v>92</v>
      </c>
      <c r="G20" s="3" t="str">
        <f>HYPERLINK("mailto:mlunsford@citizen-times.com","mlunsford@citizen-times.com")</f>
        <v>mlunsford@citizen-times.com</v>
      </c>
      <c r="H20" s="2" t="s">
        <v>53</v>
      </c>
      <c r="I20" s="2" t="s">
        <v>54</v>
      </c>
      <c r="J20" s="2" t="s">
        <v>55</v>
      </c>
      <c r="K20" s="2" t="s">
        <v>21</v>
      </c>
      <c r="L20" s="2">
        <v>28801</v>
      </c>
      <c r="M20" s="2" t="s">
        <v>93</v>
      </c>
    </row>
    <row r="21" spans="1:13" ht="63" x14ac:dyDescent="0.25">
      <c r="A21" s="2" t="s">
        <v>48</v>
      </c>
      <c r="B21" s="7"/>
      <c r="C21" s="7"/>
      <c r="D21" s="2" t="s">
        <v>94</v>
      </c>
      <c r="E21" s="2" t="s">
        <v>17</v>
      </c>
      <c r="F21" s="3" t="str">
        <f>HYPERLINK("https://twitter.com/asheville","@asheville")</f>
        <v>@asheville</v>
      </c>
      <c r="G21" s="3" t="str">
        <f>HYPERLINK("mailto:news@citizen-times.com","news@citizen-times.com")</f>
        <v>news@citizen-times.com</v>
      </c>
      <c r="H21" s="2" t="s">
        <v>53</v>
      </c>
      <c r="I21" s="2" t="s">
        <v>54</v>
      </c>
      <c r="J21" s="2" t="s">
        <v>55</v>
      </c>
      <c r="K21" s="2" t="s">
        <v>21</v>
      </c>
      <c r="L21" s="2">
        <v>28801</v>
      </c>
      <c r="M21" s="2" t="s">
        <v>95</v>
      </c>
    </row>
    <row r="22" spans="1:13" ht="63" x14ac:dyDescent="0.25">
      <c r="A22" s="2" t="s">
        <v>96</v>
      </c>
      <c r="B22" s="2" t="s">
        <v>97</v>
      </c>
      <c r="C22" s="2" t="s">
        <v>98</v>
      </c>
      <c r="D22" s="2" t="s">
        <v>99</v>
      </c>
      <c r="E22" s="2" t="s">
        <v>100</v>
      </c>
      <c r="F22" s="2" t="s">
        <v>101</v>
      </c>
      <c r="G22" s="3" t="str">
        <f>HYPERLINK("mailto:jelliston@carolinapublicpress.org","jelliston@carolinapublicpress.org")</f>
        <v>jelliston@carolinapublicpress.org</v>
      </c>
      <c r="H22" s="2" t="s">
        <v>102</v>
      </c>
      <c r="I22" s="2" t="s">
        <v>54</v>
      </c>
      <c r="J22" s="2" t="s">
        <v>55</v>
      </c>
      <c r="K22" s="2" t="s">
        <v>21</v>
      </c>
      <c r="L22" s="2">
        <v>28816</v>
      </c>
      <c r="M22" s="2" t="s">
        <v>103</v>
      </c>
    </row>
    <row r="23" spans="1:13" ht="47.25" x14ac:dyDescent="0.25">
      <c r="A23" s="2" t="s">
        <v>96</v>
      </c>
      <c r="B23" s="2" t="s">
        <v>104</v>
      </c>
      <c r="C23" s="2" t="s">
        <v>105</v>
      </c>
      <c r="D23" s="2" t="s">
        <v>106</v>
      </c>
      <c r="E23" s="2" t="s">
        <v>100</v>
      </c>
      <c r="F23" s="2"/>
      <c r="G23" s="6" t="str">
        <f>HYPERLINK("mailto:mgebelein@carolinapublicpress.org","mgebelein@carolinapublicpress.org")</f>
        <v>mgebelein@carolinapublicpress.org</v>
      </c>
      <c r="H23" s="2" t="s">
        <v>102</v>
      </c>
      <c r="I23" s="2" t="s">
        <v>54</v>
      </c>
      <c r="J23" s="2" t="s">
        <v>55</v>
      </c>
      <c r="K23" s="2" t="s">
        <v>21</v>
      </c>
      <c r="L23" s="2">
        <v>28816</v>
      </c>
      <c r="M23" s="2" t="s">
        <v>103</v>
      </c>
    </row>
    <row r="24" spans="1:13" ht="78.75" x14ac:dyDescent="0.25">
      <c r="A24" s="2" t="s">
        <v>96</v>
      </c>
      <c r="B24" s="2" t="s">
        <v>107</v>
      </c>
      <c r="C24" s="2" t="s">
        <v>108</v>
      </c>
      <c r="D24" s="2" t="s">
        <v>109</v>
      </c>
      <c r="E24" s="2" t="s">
        <v>100</v>
      </c>
      <c r="F24" s="2" t="s">
        <v>110</v>
      </c>
      <c r="G24" s="3" t="str">
        <f>HYPERLINK("mailto:anewsome@carolinapublicpress.org","anewsome@carolinapublicpress.org")</f>
        <v>anewsome@carolinapublicpress.org</v>
      </c>
      <c r="H24" s="2" t="s">
        <v>102</v>
      </c>
      <c r="I24" s="2" t="s">
        <v>54</v>
      </c>
      <c r="J24" s="2" t="s">
        <v>55</v>
      </c>
      <c r="K24" s="2" t="s">
        <v>21</v>
      </c>
      <c r="L24" s="2">
        <v>28816</v>
      </c>
      <c r="M24" s="2" t="s">
        <v>103</v>
      </c>
    </row>
    <row r="25" spans="1:13" ht="47.25" x14ac:dyDescent="0.25">
      <c r="A25" s="2" t="s">
        <v>96</v>
      </c>
      <c r="B25" s="2" t="s">
        <v>111</v>
      </c>
      <c r="C25" s="2" t="s">
        <v>112</v>
      </c>
      <c r="D25" s="2" t="s">
        <v>113</v>
      </c>
      <c r="E25" s="2" t="s">
        <v>100</v>
      </c>
      <c r="F25" s="2" t="s">
        <v>114</v>
      </c>
      <c r="G25" s="6" t="str">
        <f>HYPERLINK("mailto:kross@carolinapublicpress.org","kross@carolinapublicpress.org")</f>
        <v>kross@carolinapublicpress.org</v>
      </c>
      <c r="H25" s="2" t="s">
        <v>102</v>
      </c>
      <c r="I25" s="2" t="s">
        <v>54</v>
      </c>
      <c r="J25" s="2" t="s">
        <v>55</v>
      </c>
      <c r="K25" s="2" t="s">
        <v>21</v>
      </c>
      <c r="L25" s="2">
        <v>28816</v>
      </c>
      <c r="M25" s="2" t="s">
        <v>103</v>
      </c>
    </row>
    <row r="26" spans="1:13" ht="47.25" x14ac:dyDescent="0.25">
      <c r="A26" s="2" t="s">
        <v>96</v>
      </c>
      <c r="B26" s="2" t="s">
        <v>115</v>
      </c>
      <c r="C26" s="2" t="s">
        <v>116</v>
      </c>
      <c r="D26" s="2" t="s">
        <v>117</v>
      </c>
      <c r="E26" s="2" t="s">
        <v>100</v>
      </c>
      <c r="F26" s="2"/>
      <c r="G26" s="6" t="str">
        <f>HYPERLINK("mailto:ftaylor@carolinapublicpress.org","ftaylor@carolinapublicpress.org")</f>
        <v>ftaylor@carolinapublicpress.org</v>
      </c>
      <c r="H26" s="2" t="s">
        <v>102</v>
      </c>
      <c r="I26" s="2" t="s">
        <v>54</v>
      </c>
      <c r="J26" s="2" t="s">
        <v>55</v>
      </c>
      <c r="K26" s="2" t="s">
        <v>21</v>
      </c>
      <c r="L26" s="2">
        <v>28816</v>
      </c>
      <c r="M26" s="2" t="s">
        <v>103</v>
      </c>
    </row>
    <row r="27" spans="1:13" ht="63" x14ac:dyDescent="0.25">
      <c r="A27" s="2" t="s">
        <v>118</v>
      </c>
      <c r="B27" s="2" t="s">
        <v>119</v>
      </c>
      <c r="C27" s="2" t="s">
        <v>120</v>
      </c>
      <c r="D27" s="2" t="s">
        <v>16</v>
      </c>
      <c r="E27" s="2" t="s">
        <v>17</v>
      </c>
      <c r="F27" s="3"/>
      <c r="G27" s="4" t="str">
        <f>HYPERLINK("mailto:osmitherman@morganton.com","osmitherman@morganton.com")</f>
        <v>osmitherman@morganton.com</v>
      </c>
      <c r="H27" s="2" t="s">
        <v>121</v>
      </c>
      <c r="I27" s="2" t="s">
        <v>122</v>
      </c>
      <c r="J27" s="2" t="s">
        <v>123</v>
      </c>
      <c r="K27" s="2" t="s">
        <v>21</v>
      </c>
      <c r="L27" s="2">
        <v>28655</v>
      </c>
      <c r="M27" s="2" t="s">
        <v>124</v>
      </c>
    </row>
    <row r="28" spans="1:13" ht="47.25" x14ac:dyDescent="0.25">
      <c r="A28" s="2" t="s">
        <v>118</v>
      </c>
      <c r="B28" s="2" t="s">
        <v>125</v>
      </c>
      <c r="C28" s="2" t="s">
        <v>126</v>
      </c>
      <c r="D28" s="2" t="s">
        <v>127</v>
      </c>
      <c r="E28" s="2" t="s">
        <v>17</v>
      </c>
      <c r="F28" s="3" t="str">
        <f>HYPERLINK("https://twitter.com/MorgantonEditor","@MorgantonEditor")</f>
        <v>@MorgantonEditor</v>
      </c>
      <c r="G28" s="3" t="str">
        <f>HYPERLINK("mailto:lwall@morganton.com","lwall@morganton.com")</f>
        <v>lwall@morganton.com</v>
      </c>
      <c r="H28" s="2" t="s">
        <v>121</v>
      </c>
      <c r="I28" s="2" t="s">
        <v>122</v>
      </c>
      <c r="J28" s="2" t="s">
        <v>123</v>
      </c>
      <c r="K28" s="2" t="s">
        <v>21</v>
      </c>
      <c r="L28" s="2">
        <v>28655</v>
      </c>
      <c r="M28" s="2" t="s">
        <v>128</v>
      </c>
    </row>
    <row r="29" spans="1:13" ht="63" x14ac:dyDescent="0.25">
      <c r="A29" s="2" t="s">
        <v>118</v>
      </c>
      <c r="B29" s="2" t="s">
        <v>129</v>
      </c>
      <c r="C29" s="2" t="s">
        <v>130</v>
      </c>
      <c r="D29" s="2" t="s">
        <v>131</v>
      </c>
      <c r="E29" s="2" t="s">
        <v>17</v>
      </c>
      <c r="F29" s="3" t="str">
        <f>HYPERLINK("https://twitter.com/tammiegercken","@tammiegercken")</f>
        <v>@tammiegercken</v>
      </c>
      <c r="G29" s="3" t="str">
        <f>HYPERLINK("mailto:tgercken@morganton.com","tgercken@morganton.com")</f>
        <v>tgercken@morganton.com</v>
      </c>
      <c r="H29" s="2" t="s">
        <v>121</v>
      </c>
      <c r="I29" s="2" t="s">
        <v>122</v>
      </c>
      <c r="J29" s="2" t="s">
        <v>123</v>
      </c>
      <c r="K29" s="2" t="s">
        <v>21</v>
      </c>
      <c r="L29" s="2">
        <v>28655</v>
      </c>
      <c r="M29" s="2" t="s">
        <v>132</v>
      </c>
    </row>
    <row r="30" spans="1:13" ht="63" x14ac:dyDescent="0.25">
      <c r="A30" s="2" t="s">
        <v>118</v>
      </c>
      <c r="B30" s="2" t="s">
        <v>133</v>
      </c>
      <c r="C30" s="2" t="s">
        <v>134</v>
      </c>
      <c r="D30" s="2" t="s">
        <v>135</v>
      </c>
      <c r="E30" s="2" t="s">
        <v>17</v>
      </c>
      <c r="F30" s="3" t="str">
        <f>HYPERLINK("https://twitter.com/MNH_JonelleB","@MNH_JonelleB")</f>
        <v>@MNH_JonelleB</v>
      </c>
      <c r="G30" s="3" t="str">
        <f>HYPERLINK("mailto:jbobak@morganton.com","jbobak@morganton.com")</f>
        <v>jbobak@morganton.com</v>
      </c>
      <c r="H30" s="2" t="s">
        <v>121</v>
      </c>
      <c r="I30" s="2" t="s">
        <v>122</v>
      </c>
      <c r="J30" s="2" t="s">
        <v>123</v>
      </c>
      <c r="K30" s="2" t="s">
        <v>21</v>
      </c>
      <c r="L30" s="2">
        <v>28655</v>
      </c>
      <c r="M30" s="2" t="s">
        <v>136</v>
      </c>
    </row>
    <row r="31" spans="1:13" ht="63" x14ac:dyDescent="0.25">
      <c r="A31" s="2" t="s">
        <v>118</v>
      </c>
      <c r="B31" s="2" t="s">
        <v>137</v>
      </c>
      <c r="C31" s="2" t="s">
        <v>138</v>
      </c>
      <c r="D31" s="2" t="s">
        <v>33</v>
      </c>
      <c r="E31" s="2" t="s">
        <v>17</v>
      </c>
      <c r="F31" s="5"/>
      <c r="G31" s="3" t="str">
        <f>HYPERLINK("mailto:jepley@morganton.com","jepley@morganton.com")</f>
        <v>jepley@morganton.com</v>
      </c>
      <c r="H31" s="2" t="s">
        <v>121</v>
      </c>
      <c r="I31" s="2" t="s">
        <v>122</v>
      </c>
      <c r="J31" s="2" t="s">
        <v>123</v>
      </c>
      <c r="K31" s="2" t="s">
        <v>21</v>
      </c>
      <c r="L31" s="2">
        <v>28655</v>
      </c>
      <c r="M31" s="2" t="s">
        <v>139</v>
      </c>
    </row>
    <row r="32" spans="1:13" ht="63" x14ac:dyDescent="0.25">
      <c r="A32" s="2" t="s">
        <v>118</v>
      </c>
      <c r="B32" s="2" t="s">
        <v>140</v>
      </c>
      <c r="C32" s="2" t="s">
        <v>141</v>
      </c>
      <c r="D32" s="2" t="s">
        <v>33</v>
      </c>
      <c r="E32" s="2" t="s">
        <v>17</v>
      </c>
      <c r="F32" s="3" t="str">
        <f>HYPERLINK("https://twitter.com/McBrayerMNH","@McBrayerMNH")</f>
        <v>@McBrayerMNH</v>
      </c>
      <c r="G32" s="3" t="str">
        <f>HYPERLINK("mailto:smcbrayer@morganton.com","smcbrayer@morganton.com")</f>
        <v>smcbrayer@morganton.com</v>
      </c>
      <c r="H32" s="2" t="s">
        <v>121</v>
      </c>
      <c r="I32" s="2" t="s">
        <v>122</v>
      </c>
      <c r="J32" s="2" t="s">
        <v>123</v>
      </c>
      <c r="K32" s="2" t="s">
        <v>21</v>
      </c>
      <c r="L32" s="2">
        <v>28655</v>
      </c>
      <c r="M32" s="2" t="s">
        <v>142</v>
      </c>
    </row>
    <row r="33" spans="1:13" ht="110.25" x14ac:dyDescent="0.25">
      <c r="A33" s="2" t="s">
        <v>143</v>
      </c>
      <c r="B33" s="2" t="s">
        <v>144</v>
      </c>
      <c r="C33" s="2" t="s">
        <v>145</v>
      </c>
      <c r="D33" s="2" t="s">
        <v>16</v>
      </c>
      <c r="E33" s="2" t="s">
        <v>17</v>
      </c>
      <c r="F33" s="2"/>
      <c r="G33" s="3" t="str">
        <f>HYPERLINK("mailto:emillsaps@independenttribune.com","emillsaps@independenttribune.com")</f>
        <v>emillsaps@independenttribune.com</v>
      </c>
      <c r="H33" s="2" t="s">
        <v>146</v>
      </c>
      <c r="I33" s="2" t="s">
        <v>147</v>
      </c>
      <c r="J33" s="2" t="s">
        <v>148</v>
      </c>
      <c r="K33" s="2" t="s">
        <v>21</v>
      </c>
      <c r="L33" s="2">
        <v>28025</v>
      </c>
      <c r="M33" s="2" t="s">
        <v>149</v>
      </c>
    </row>
    <row r="34" spans="1:13" ht="110.25" x14ac:dyDescent="0.25">
      <c r="A34" s="2" t="s">
        <v>143</v>
      </c>
      <c r="B34" s="2" t="s">
        <v>67</v>
      </c>
      <c r="C34" s="2" t="s">
        <v>150</v>
      </c>
      <c r="D34" s="2" t="s">
        <v>25</v>
      </c>
      <c r="E34" s="2" t="s">
        <v>17</v>
      </c>
      <c r="F34" s="3" t="str">
        <f>HYPERLINK("https://twitter.com/markplemmons","@markplemmons")</f>
        <v>@markplemmons</v>
      </c>
      <c r="G34" s="3" t="str">
        <f>HYPERLINK("mailto:mplemmons@independenttribune.com","mplemmons@independenttribune.com")</f>
        <v>mplemmons@independenttribune.com</v>
      </c>
      <c r="H34" s="2" t="s">
        <v>146</v>
      </c>
      <c r="I34" s="2" t="s">
        <v>147</v>
      </c>
      <c r="J34" s="2" t="s">
        <v>148</v>
      </c>
      <c r="K34" s="2" t="s">
        <v>21</v>
      </c>
      <c r="L34" s="2">
        <v>28025</v>
      </c>
      <c r="M34" s="2" t="s">
        <v>151</v>
      </c>
    </row>
    <row r="35" spans="1:13" ht="110.25" x14ac:dyDescent="0.25">
      <c r="A35" s="2" t="s">
        <v>143</v>
      </c>
      <c r="B35" s="2" t="s">
        <v>104</v>
      </c>
      <c r="C35" s="2" t="s">
        <v>152</v>
      </c>
      <c r="D35" s="2" t="s">
        <v>153</v>
      </c>
      <c r="E35" s="2" t="s">
        <v>17</v>
      </c>
      <c r="F35" s="2"/>
      <c r="G35" s="3" t="str">
        <f>HYPERLINK("mailto:mknox@independenttribune.com","mknox@independenttribune.com")</f>
        <v>mknox@independenttribune.com</v>
      </c>
      <c r="H35" s="2" t="s">
        <v>146</v>
      </c>
      <c r="I35" s="2" t="s">
        <v>147</v>
      </c>
      <c r="J35" s="2" t="s">
        <v>148</v>
      </c>
      <c r="K35" s="2" t="s">
        <v>21</v>
      </c>
      <c r="L35" s="2">
        <v>28025</v>
      </c>
      <c r="M35" s="2" t="s">
        <v>154</v>
      </c>
    </row>
    <row r="36" spans="1:13" ht="110.25" x14ac:dyDescent="0.25">
      <c r="A36" s="2" t="s">
        <v>143</v>
      </c>
      <c r="B36" s="2" t="s">
        <v>155</v>
      </c>
      <c r="C36" s="2" t="s">
        <v>156</v>
      </c>
      <c r="D36" s="2" t="s">
        <v>157</v>
      </c>
      <c r="E36" s="2" t="s">
        <v>17</v>
      </c>
      <c r="F36" s="3" t="str">
        <f>HYPERLINK("https://twitter.com/ErinKiddIT","@ErinKiddIT")</f>
        <v>@ErinKiddIT</v>
      </c>
      <c r="G36" s="3" t="str">
        <f>HYPERLINK("mailto:jkidd@independenttribune.com","jkidd@independenttribune.com")</f>
        <v>jkidd@independenttribune.com</v>
      </c>
      <c r="H36" s="2" t="s">
        <v>146</v>
      </c>
      <c r="I36" s="2" t="s">
        <v>147</v>
      </c>
      <c r="J36" s="2" t="s">
        <v>148</v>
      </c>
      <c r="K36" s="2" t="s">
        <v>21</v>
      </c>
      <c r="L36" s="2">
        <v>28025</v>
      </c>
      <c r="M36" s="2" t="s">
        <v>154</v>
      </c>
    </row>
    <row r="37" spans="1:13" ht="110.25" x14ac:dyDescent="0.25">
      <c r="A37" s="2" t="s">
        <v>143</v>
      </c>
      <c r="B37" s="2" t="s">
        <v>155</v>
      </c>
      <c r="C37" s="2" t="s">
        <v>158</v>
      </c>
      <c r="D37" s="2" t="s">
        <v>157</v>
      </c>
      <c r="E37" s="2" t="s">
        <v>17</v>
      </c>
      <c r="F37" s="3" t="str">
        <f>HYPERLINK("https://twitter.com/erinaweeks","@erinaweeks")</f>
        <v>@erinaweeks</v>
      </c>
      <c r="G37" s="3" t="str">
        <f>HYPERLINK("mailto:eweeks@independenttribune.com","eweeks@independenttribune.com")</f>
        <v>eweeks@independenttribune.com</v>
      </c>
      <c r="H37" s="2" t="s">
        <v>146</v>
      </c>
      <c r="I37" s="2" t="s">
        <v>147</v>
      </c>
      <c r="J37" s="2" t="s">
        <v>148</v>
      </c>
      <c r="K37" s="2" t="s">
        <v>21</v>
      </c>
      <c r="L37" s="2">
        <v>28025</v>
      </c>
      <c r="M37" s="2" t="s">
        <v>154</v>
      </c>
    </row>
    <row r="38" spans="1:13" ht="110.25" x14ac:dyDescent="0.25">
      <c r="A38" s="2" t="s">
        <v>143</v>
      </c>
      <c r="B38" s="7"/>
      <c r="C38" s="7"/>
      <c r="D38" s="2" t="s">
        <v>37</v>
      </c>
      <c r="E38" s="2" t="s">
        <v>17</v>
      </c>
      <c r="F38" s="2"/>
      <c r="G38" s="3" t="str">
        <f>HYPERLINK("mailto:news@independenttribune.com","news@independenttribune.com")</f>
        <v>news@independenttribune.com</v>
      </c>
      <c r="H38" s="2" t="s">
        <v>146</v>
      </c>
      <c r="I38" s="2" t="s">
        <v>147</v>
      </c>
      <c r="J38" s="2" t="s">
        <v>148</v>
      </c>
      <c r="K38" s="2" t="s">
        <v>21</v>
      </c>
      <c r="L38" s="2">
        <v>28026</v>
      </c>
      <c r="M38" s="2" t="s">
        <v>159</v>
      </c>
    </row>
    <row r="39" spans="1:13" ht="110.25" x14ac:dyDescent="0.25">
      <c r="A39" s="2" t="s">
        <v>143</v>
      </c>
      <c r="B39" s="7"/>
      <c r="C39" s="7"/>
      <c r="D39" s="2" t="s">
        <v>38</v>
      </c>
      <c r="E39" s="2" t="s">
        <v>17</v>
      </c>
      <c r="F39" s="2"/>
      <c r="G39" s="3" t="str">
        <f>HYPERLINK("mailto:mplemmons@independenttribune.com","Send to Editor Mark Plemmons")</f>
        <v>Send to Editor Mark Plemmons</v>
      </c>
      <c r="H39" s="2" t="s">
        <v>146</v>
      </c>
      <c r="I39" s="2" t="s">
        <v>147</v>
      </c>
      <c r="J39" s="2" t="s">
        <v>148</v>
      </c>
      <c r="K39" s="2" t="s">
        <v>21</v>
      </c>
      <c r="L39" s="2">
        <v>28025</v>
      </c>
      <c r="M39" s="2" t="s">
        <v>160</v>
      </c>
    </row>
    <row r="40" spans="1:13" ht="47.25" x14ac:dyDescent="0.25">
      <c r="A40" s="2" t="s">
        <v>161</v>
      </c>
      <c r="B40" s="2" t="s">
        <v>162</v>
      </c>
      <c r="C40" s="2" t="s">
        <v>163</v>
      </c>
      <c r="D40" s="2" t="s">
        <v>16</v>
      </c>
      <c r="E40" s="2" t="s">
        <v>17</v>
      </c>
      <c r="F40" s="2"/>
      <c r="G40" s="8" t="s">
        <v>164</v>
      </c>
      <c r="H40" s="2" t="s">
        <v>165</v>
      </c>
      <c r="I40" s="2" t="s">
        <v>166</v>
      </c>
      <c r="J40" s="2" t="s">
        <v>167</v>
      </c>
      <c r="K40" s="2" t="s">
        <v>21</v>
      </c>
      <c r="L40" s="2">
        <v>28645</v>
      </c>
      <c r="M40" s="2" t="s">
        <v>168</v>
      </c>
    </row>
    <row r="41" spans="1:13" ht="78.75" x14ac:dyDescent="0.25">
      <c r="A41" s="2" t="s">
        <v>161</v>
      </c>
      <c r="B41" s="2" t="s">
        <v>169</v>
      </c>
      <c r="C41" s="2" t="s">
        <v>170</v>
      </c>
      <c r="D41" s="2" t="s">
        <v>171</v>
      </c>
      <c r="E41" s="2" t="s">
        <v>17</v>
      </c>
      <c r="F41" s="2"/>
      <c r="G41" s="3" t="str">
        <f>HYPERLINK("mailto:jdavis@newstopic.net","jdavis@newstopic.net")</f>
        <v>jdavis@newstopic.net</v>
      </c>
      <c r="H41" s="2" t="s">
        <v>165</v>
      </c>
      <c r="I41" s="2" t="s">
        <v>166</v>
      </c>
      <c r="J41" s="2" t="s">
        <v>167</v>
      </c>
      <c r="K41" s="2" t="s">
        <v>21</v>
      </c>
      <c r="L41" s="2">
        <v>28645</v>
      </c>
      <c r="M41" s="2" t="s">
        <v>172</v>
      </c>
    </row>
    <row r="42" spans="1:13" ht="94.5" x14ac:dyDescent="0.25">
      <c r="A42" s="2" t="s">
        <v>161</v>
      </c>
      <c r="B42" s="2" t="s">
        <v>173</v>
      </c>
      <c r="C42" s="2" t="s">
        <v>174</v>
      </c>
      <c r="D42" s="2" t="s">
        <v>175</v>
      </c>
      <c r="E42" s="2" t="s">
        <v>17</v>
      </c>
      <c r="F42" s="3" t="str">
        <f>HYPERLINK("https://twitter.com/KaraFohner","@KaraFohner")</f>
        <v>@KaraFohner</v>
      </c>
      <c r="G42" s="3" t="str">
        <f>HYPERLINK("mailto:kfohner@newstopicnews.com","kfohner@newstopicnews.com")</f>
        <v>kfohner@newstopicnews.com</v>
      </c>
      <c r="H42" s="2" t="s">
        <v>165</v>
      </c>
      <c r="I42" s="2" t="s">
        <v>166</v>
      </c>
      <c r="J42" s="2" t="s">
        <v>167</v>
      </c>
      <c r="K42" s="2" t="s">
        <v>21</v>
      </c>
      <c r="L42" s="2">
        <v>28645</v>
      </c>
      <c r="M42" s="2" t="s">
        <v>176</v>
      </c>
    </row>
    <row r="43" spans="1:13" ht="47.25" x14ac:dyDescent="0.25">
      <c r="A43" s="2" t="s">
        <v>161</v>
      </c>
      <c r="B43" s="2" t="s">
        <v>177</v>
      </c>
      <c r="C43" s="7"/>
      <c r="D43" s="2" t="s">
        <v>37</v>
      </c>
      <c r="E43" s="2" t="s">
        <v>17</v>
      </c>
      <c r="F43" s="3" t="str">
        <f>HYPERLINK("https://twitter.com/newstopic","@newstopic")</f>
        <v>@newstopic</v>
      </c>
      <c r="G43" s="3" t="str">
        <f>HYPERLINK("mailto:news@newstopic.net","news@newstopic.net")</f>
        <v>news@newstopic.net</v>
      </c>
      <c r="H43" s="2" t="s">
        <v>165</v>
      </c>
      <c r="I43" s="2" t="s">
        <v>166</v>
      </c>
      <c r="J43" s="2" t="s">
        <v>167</v>
      </c>
      <c r="K43" s="2" t="s">
        <v>21</v>
      </c>
      <c r="L43" s="2">
        <v>28645</v>
      </c>
      <c r="M43" s="2"/>
    </row>
    <row r="44" spans="1:13" ht="78.75" x14ac:dyDescent="0.25">
      <c r="A44" s="2" t="s">
        <v>178</v>
      </c>
      <c r="B44" s="2" t="s">
        <v>179</v>
      </c>
      <c r="C44" s="2" t="s">
        <v>180</v>
      </c>
      <c r="D44" s="2" t="s">
        <v>16</v>
      </c>
      <c r="E44" s="2" t="s">
        <v>17</v>
      </c>
      <c r="F44" s="2"/>
      <c r="G44" s="3" t="str">
        <f>HYPERLINK("mailto:tdearman@hickoryrecord.com","tdearman@hickoryrecord.com")</f>
        <v>tdearman@hickoryrecord.com</v>
      </c>
      <c r="H44" s="2" t="s">
        <v>181</v>
      </c>
      <c r="I44" s="2" t="s">
        <v>182</v>
      </c>
      <c r="J44" s="2" t="s">
        <v>183</v>
      </c>
      <c r="K44" s="2" t="s">
        <v>21</v>
      </c>
      <c r="L44" s="2">
        <v>28602</v>
      </c>
      <c r="M44" s="2" t="s">
        <v>184</v>
      </c>
    </row>
    <row r="45" spans="1:13" ht="78.75" x14ac:dyDescent="0.25">
      <c r="A45" s="2" t="s">
        <v>178</v>
      </c>
      <c r="B45" s="2" t="s">
        <v>73</v>
      </c>
      <c r="C45" s="2" t="s">
        <v>185</v>
      </c>
      <c r="D45" s="2" t="s">
        <v>25</v>
      </c>
      <c r="E45" s="7" t="s">
        <v>17</v>
      </c>
      <c r="F45" s="2"/>
      <c r="G45" s="3" t="str">
        <f>HYPERLINK("mailto:jlafontaine@hickoryrecord.com","jlafontaine@hickoryrecord.com")</f>
        <v>jlafontaine@hickoryrecord.com</v>
      </c>
      <c r="H45" s="2" t="s">
        <v>181</v>
      </c>
      <c r="I45" s="2" t="s">
        <v>182</v>
      </c>
      <c r="J45" s="2" t="s">
        <v>183</v>
      </c>
      <c r="K45" s="2" t="s">
        <v>21</v>
      </c>
      <c r="L45" s="2">
        <v>28602</v>
      </c>
      <c r="M45" s="2" t="s">
        <v>186</v>
      </c>
    </row>
    <row r="46" spans="1:13" ht="78.75" x14ac:dyDescent="0.25">
      <c r="A46" s="2" t="s">
        <v>178</v>
      </c>
      <c r="B46" s="2" t="s">
        <v>187</v>
      </c>
      <c r="C46" s="2" t="s">
        <v>188</v>
      </c>
      <c r="D46" s="2" t="s">
        <v>33</v>
      </c>
      <c r="E46" s="2" t="s">
        <v>17</v>
      </c>
      <c r="F46" s="2"/>
      <c r="G46" s="3" t="str">
        <f>HYPERLINK("mailto:ewillis@hickoryrecord.com","ewillis@hickoryrecord.com")</f>
        <v>ewillis@hickoryrecord.com</v>
      </c>
      <c r="H46" s="2" t="s">
        <v>181</v>
      </c>
      <c r="I46" s="7" t="s">
        <v>182</v>
      </c>
      <c r="J46" s="7" t="s">
        <v>183</v>
      </c>
      <c r="K46" s="7" t="s">
        <v>21</v>
      </c>
      <c r="L46" s="7">
        <v>28602</v>
      </c>
      <c r="M46" s="7" t="s">
        <v>189</v>
      </c>
    </row>
    <row r="47" spans="1:13" ht="78.75" x14ac:dyDescent="0.25">
      <c r="A47" s="2" t="s">
        <v>178</v>
      </c>
      <c r="B47" s="2" t="s">
        <v>190</v>
      </c>
      <c r="C47" s="2" t="s">
        <v>191</v>
      </c>
      <c r="D47" s="2" t="s">
        <v>192</v>
      </c>
      <c r="E47" s="2" t="s">
        <v>17</v>
      </c>
      <c r="F47" s="3" t="str">
        <f>HYPERLINK("https://twitter.com/HDRmaxseng","@hdrmaxseng")</f>
        <v>@hdrmaxseng</v>
      </c>
      <c r="G47" s="3" t="str">
        <f>HYPERLINK("mailto:mseng@hickoryrecord.com","mseng@hickoryrecord.com")</f>
        <v>mseng@hickoryrecord.com</v>
      </c>
      <c r="H47" s="2" t="s">
        <v>181</v>
      </c>
      <c r="I47" s="7" t="s">
        <v>182</v>
      </c>
      <c r="J47" s="7" t="s">
        <v>183</v>
      </c>
      <c r="K47" s="7" t="s">
        <v>21</v>
      </c>
      <c r="L47" s="7">
        <v>28602</v>
      </c>
      <c r="M47" s="7" t="s">
        <v>189</v>
      </c>
    </row>
    <row r="48" spans="1:13" ht="78.75" x14ac:dyDescent="0.25">
      <c r="A48" s="2" t="s">
        <v>178</v>
      </c>
      <c r="B48" s="2" t="s">
        <v>73</v>
      </c>
      <c r="C48" s="2" t="s">
        <v>193</v>
      </c>
      <c r="D48" s="2" t="s">
        <v>194</v>
      </c>
      <c r="E48" s="2" t="s">
        <v>17</v>
      </c>
      <c r="F48" s="2"/>
      <c r="G48" s="3" t="str">
        <f>HYPERLINK("mailto:jdayberry@hickoryrecord.com","jdayberry@hickoryrecord.com")</f>
        <v>jdayberry@hickoryrecord.com</v>
      </c>
      <c r="H48" s="2" t="s">
        <v>181</v>
      </c>
      <c r="I48" s="2" t="s">
        <v>182</v>
      </c>
      <c r="J48" s="2" t="s">
        <v>183</v>
      </c>
      <c r="K48" s="2" t="s">
        <v>21</v>
      </c>
      <c r="L48" s="2">
        <v>28602</v>
      </c>
      <c r="M48" s="2" t="s">
        <v>189</v>
      </c>
    </row>
    <row r="49" spans="1:13" ht="78.75" x14ac:dyDescent="0.25">
      <c r="A49" s="2" t="s">
        <v>178</v>
      </c>
      <c r="B49" s="2" t="s">
        <v>27</v>
      </c>
      <c r="C49" s="2" t="s">
        <v>195</v>
      </c>
      <c r="D49" s="2" t="s">
        <v>196</v>
      </c>
      <c r="E49" s="2" t="s">
        <v>17</v>
      </c>
      <c r="F49" s="6" t="str">
        <f>HYPERLINK("https://twitter.com/NeasNews","@NeasNews")</f>
        <v>@NeasNews</v>
      </c>
      <c r="G49" s="3" t="str">
        <f>HYPERLINK("mailto:tneas@hickoryrecord.com","tneas@hickoryrecord.com")</f>
        <v>tneas@hickoryrecord.com</v>
      </c>
      <c r="H49" s="2" t="s">
        <v>181</v>
      </c>
      <c r="I49" s="2" t="s">
        <v>182</v>
      </c>
      <c r="J49" s="2" t="s">
        <v>183</v>
      </c>
      <c r="K49" s="2" t="s">
        <v>21</v>
      </c>
      <c r="L49" s="2">
        <v>28602</v>
      </c>
      <c r="M49" s="2" t="s">
        <v>189</v>
      </c>
    </row>
    <row r="50" spans="1:13" ht="78.75" x14ac:dyDescent="0.25">
      <c r="A50" s="2" t="s">
        <v>178</v>
      </c>
      <c r="B50" s="7"/>
      <c r="C50" s="7"/>
      <c r="D50" s="2" t="s">
        <v>37</v>
      </c>
      <c r="E50" s="2" t="s">
        <v>17</v>
      </c>
      <c r="F50" s="3" t="str">
        <f>HYPERLINK("https://twitter.com/Hickoryrecord","@Hickoryrecord")</f>
        <v>@Hickoryrecord</v>
      </c>
      <c r="G50" s="3" t="str">
        <f>HYPERLINK("mailto:news@hickoryrecord.com","news@hickoryrecord.com")</f>
        <v>news@hickoryrecord.com</v>
      </c>
      <c r="H50" s="2" t="s">
        <v>181</v>
      </c>
      <c r="I50" s="2" t="s">
        <v>182</v>
      </c>
      <c r="J50" s="2" t="s">
        <v>183</v>
      </c>
      <c r="K50" s="2" t="s">
        <v>21</v>
      </c>
      <c r="L50" s="2">
        <v>28602</v>
      </c>
      <c r="M50" s="2" t="s">
        <v>189</v>
      </c>
    </row>
    <row r="51" spans="1:13" ht="78.75" x14ac:dyDescent="0.25">
      <c r="A51" s="2" t="s">
        <v>178</v>
      </c>
      <c r="B51" s="7"/>
      <c r="C51" s="7"/>
      <c r="D51" s="2" t="s">
        <v>38</v>
      </c>
      <c r="E51" s="2" t="s">
        <v>17</v>
      </c>
      <c r="F51" s="3" t="str">
        <f>HYPERLINK("https://twitter.com/Hickoryrecord","@Hickoryrecord")</f>
        <v>@Hickoryrecord</v>
      </c>
      <c r="G51" s="3" t="str">
        <f>HYPERLINK("mailto:news@hickoryrecord.com","news@hickoryrecord.com")</f>
        <v>news@hickoryrecord.com</v>
      </c>
      <c r="H51" s="2" t="s">
        <v>181</v>
      </c>
      <c r="I51" s="2" t="s">
        <v>182</v>
      </c>
      <c r="J51" s="2" t="s">
        <v>183</v>
      </c>
      <c r="K51" s="2" t="s">
        <v>21</v>
      </c>
      <c r="L51" s="2">
        <v>28602</v>
      </c>
      <c r="M51" s="2" t="s">
        <v>189</v>
      </c>
    </row>
    <row r="52" spans="1:13" ht="78.75" x14ac:dyDescent="0.25">
      <c r="A52" s="2" t="s">
        <v>197</v>
      </c>
      <c r="B52" s="2" t="s">
        <v>198</v>
      </c>
      <c r="C52" s="2" t="s">
        <v>199</v>
      </c>
      <c r="D52" s="2" t="s">
        <v>33</v>
      </c>
      <c r="E52" s="2" t="s">
        <v>17</v>
      </c>
      <c r="F52" s="6" t="str">
        <f>HYPERLINK("https://twitter.com/CigiSparks_ONE","@CigiSparks_ONE")</f>
        <v>@CigiSparks_ONE</v>
      </c>
      <c r="G52" s="3" t="str">
        <f>HYPERLINK("mailto:onereporter@observernewsonline.com","onereporter@observernewsonline.com")</f>
        <v>onereporter@observernewsonline.com</v>
      </c>
      <c r="H52" s="2" t="s">
        <v>200</v>
      </c>
      <c r="I52" s="2" t="s">
        <v>201</v>
      </c>
      <c r="J52" s="2" t="s">
        <v>183</v>
      </c>
      <c r="K52" s="2" t="s">
        <v>21</v>
      </c>
      <c r="L52" s="2">
        <v>28658</v>
      </c>
      <c r="M52" s="2" t="s">
        <v>202</v>
      </c>
    </row>
    <row r="53" spans="1:13" ht="78.75" x14ac:dyDescent="0.25">
      <c r="A53" s="2" t="s">
        <v>197</v>
      </c>
      <c r="B53" s="2" t="s">
        <v>203</v>
      </c>
      <c r="C53" s="2" t="s">
        <v>204</v>
      </c>
      <c r="D53" s="2" t="s">
        <v>205</v>
      </c>
      <c r="E53" s="2" t="s">
        <v>17</v>
      </c>
      <c r="F53" s="2"/>
      <c r="G53" s="3" t="str">
        <f>HYPERLINK("mailto:onenews@observernewsonline.com","onenews@observernewsonline.com")</f>
        <v>onenews@observernewsonline.com</v>
      </c>
      <c r="H53" s="2" t="s">
        <v>200</v>
      </c>
      <c r="I53" s="2" t="s">
        <v>201</v>
      </c>
      <c r="J53" s="2" t="s">
        <v>206</v>
      </c>
      <c r="K53" s="2" t="s">
        <v>21</v>
      </c>
      <c r="L53" s="2">
        <v>28658</v>
      </c>
      <c r="M53" s="2" t="s">
        <v>202</v>
      </c>
    </row>
    <row r="54" spans="1:13" ht="78.75" x14ac:dyDescent="0.25">
      <c r="A54" s="2" t="s">
        <v>207</v>
      </c>
      <c r="B54" s="2" t="s">
        <v>177</v>
      </c>
      <c r="C54" s="7"/>
      <c r="D54" s="2" t="s">
        <v>38</v>
      </c>
      <c r="E54" s="2" t="s">
        <v>17</v>
      </c>
      <c r="F54" s="3"/>
      <c r="G54" s="3" t="str">
        <f>HYPERLINK("mailto:onenews@observernewsonline.com","onenews@observernewsonline.com")</f>
        <v>onenews@observernewsonline.com</v>
      </c>
      <c r="H54" s="2" t="s">
        <v>200</v>
      </c>
      <c r="I54" s="2" t="s">
        <v>201</v>
      </c>
      <c r="J54" s="2" t="s">
        <v>206</v>
      </c>
      <c r="K54" s="2" t="s">
        <v>21</v>
      </c>
      <c r="L54" s="2">
        <v>28658</v>
      </c>
      <c r="M54" s="2" t="s">
        <v>202</v>
      </c>
    </row>
    <row r="55" spans="1:13" ht="63" x14ac:dyDescent="0.25">
      <c r="A55" s="2" t="s">
        <v>208</v>
      </c>
      <c r="B55" s="2" t="s">
        <v>209</v>
      </c>
      <c r="C55" s="2" t="s">
        <v>210</v>
      </c>
      <c r="D55" s="2" t="s">
        <v>16</v>
      </c>
      <c r="E55" s="2" t="s">
        <v>17</v>
      </c>
      <c r="F55" s="6" t="str">
        <f>HYPERLINK("https://twitter.com/talleylc","@talleylc")</f>
        <v>@talleylc</v>
      </c>
      <c r="G55" s="3" t="str">
        <f>HYPERLINK("mailto:ltalley@gastongazette.com","ltalley@gastongazette.com")</f>
        <v>ltalley@gastongazette.com</v>
      </c>
      <c r="H55" s="2" t="s">
        <v>211</v>
      </c>
      <c r="I55" s="2" t="s">
        <v>212</v>
      </c>
      <c r="J55" s="2" t="s">
        <v>213</v>
      </c>
      <c r="K55" s="2" t="s">
        <v>21</v>
      </c>
      <c r="L55" s="2">
        <v>28150</v>
      </c>
      <c r="M55" s="2" t="s">
        <v>214</v>
      </c>
    </row>
    <row r="56" spans="1:13" ht="63" x14ac:dyDescent="0.25">
      <c r="A56" s="2" t="s">
        <v>208</v>
      </c>
      <c r="B56" s="2" t="s">
        <v>215</v>
      </c>
      <c r="C56" s="2" t="s">
        <v>216</v>
      </c>
      <c r="D56" s="2" t="s">
        <v>217</v>
      </c>
      <c r="E56" s="2" t="s">
        <v>17</v>
      </c>
      <c r="F56" s="6" t="str">
        <f>HYPERLINK("https://twitter.com/ShelbyStarDiane","@ShelbyStarDiane")</f>
        <v>@ShelbyStarDiane</v>
      </c>
      <c r="G56" s="3" t="str">
        <f>HYPERLINK("mailto:dturbyfill@shelbystar.com","dturbyfill@shelbystar.com")</f>
        <v>dturbyfill@shelbystar.com</v>
      </c>
      <c r="H56" s="2" t="s">
        <v>211</v>
      </c>
      <c r="I56" s="2" t="s">
        <v>212</v>
      </c>
      <c r="J56" s="2" t="s">
        <v>213</v>
      </c>
      <c r="K56" s="2" t="s">
        <v>21</v>
      </c>
      <c r="L56" s="2">
        <v>28150</v>
      </c>
      <c r="M56" s="2" t="s">
        <v>218</v>
      </c>
    </row>
    <row r="57" spans="1:13" ht="47.25" x14ac:dyDescent="0.25">
      <c r="A57" s="2" t="s">
        <v>208</v>
      </c>
      <c r="B57" s="2" t="s">
        <v>219</v>
      </c>
      <c r="C57" s="2" t="s">
        <v>220</v>
      </c>
      <c r="D57" s="2" t="s">
        <v>221</v>
      </c>
      <c r="E57" s="2" t="s">
        <v>17</v>
      </c>
      <c r="F57" s="3" t="str">
        <f>HYPERLINK("https://twitter.com/CWhite_Star","@CWhite_Star")</f>
        <v>@CWhite_Star</v>
      </c>
      <c r="G57" s="3" t="str">
        <f>HYPERLINK("mailto:cwhite@shelbystar.com","cwhite@shelbystar.com")</f>
        <v>cwhite@shelbystar.com</v>
      </c>
      <c r="H57" s="2" t="s">
        <v>211</v>
      </c>
      <c r="I57" s="2" t="s">
        <v>212</v>
      </c>
      <c r="J57" s="2" t="s">
        <v>213</v>
      </c>
      <c r="K57" s="2" t="s">
        <v>21</v>
      </c>
      <c r="L57" s="2">
        <v>28150</v>
      </c>
      <c r="M57" s="2" t="s">
        <v>222</v>
      </c>
    </row>
    <row r="58" spans="1:13" ht="47.25" x14ac:dyDescent="0.25">
      <c r="A58" s="2" t="s">
        <v>208</v>
      </c>
      <c r="B58" s="2" t="s">
        <v>223</v>
      </c>
      <c r="C58" s="2" t="s">
        <v>224</v>
      </c>
      <c r="D58" s="2" t="s">
        <v>225</v>
      </c>
      <c r="E58" s="2" t="s">
        <v>17</v>
      </c>
      <c r="F58" s="3" t="str">
        <f>HYPERLINK("https://twitter.com/efranco_star","@efranco_star")</f>
        <v>@efranco_star</v>
      </c>
      <c r="G58" s="3" t="str">
        <f>HYPERLINK("mailto:efranco@shelbystar.com","efranco@shelbystar.com")</f>
        <v>efranco@shelbystar.com</v>
      </c>
      <c r="H58" s="2" t="s">
        <v>211</v>
      </c>
      <c r="I58" s="2" t="s">
        <v>212</v>
      </c>
      <c r="J58" s="2" t="s">
        <v>213</v>
      </c>
      <c r="K58" s="2" t="s">
        <v>21</v>
      </c>
      <c r="L58" s="2">
        <v>28150</v>
      </c>
      <c r="M58" s="2" t="s">
        <v>226</v>
      </c>
    </row>
    <row r="59" spans="1:13" ht="47.25" x14ac:dyDescent="0.25">
      <c r="A59" s="2" t="s">
        <v>208</v>
      </c>
      <c r="B59" s="2" t="s">
        <v>227</v>
      </c>
      <c r="C59" s="2" t="s">
        <v>228</v>
      </c>
      <c r="D59" s="2" t="s">
        <v>33</v>
      </c>
      <c r="E59" s="2" t="s">
        <v>17</v>
      </c>
      <c r="F59" s="3" t="str">
        <f>HYPERLINK("https://twitter.com/Star_J_Orlando","@Star_J_Orlando")</f>
        <v>@Star_J_Orlando</v>
      </c>
      <c r="G59" s="3" t="str">
        <f>HYPERLINK("mailto:jorlando@shelbystar.com","jorlando@shelbystar.com")</f>
        <v>jorlando@shelbystar.com</v>
      </c>
      <c r="H59" s="2" t="s">
        <v>211</v>
      </c>
      <c r="I59" s="2" t="s">
        <v>212</v>
      </c>
      <c r="J59" s="2" t="s">
        <v>213</v>
      </c>
      <c r="K59" s="2" t="s">
        <v>21</v>
      </c>
      <c r="L59" s="2">
        <v>28150</v>
      </c>
      <c r="M59" s="2" t="s">
        <v>229</v>
      </c>
    </row>
    <row r="60" spans="1:13" ht="47.25" x14ac:dyDescent="0.25">
      <c r="A60" s="2" t="s">
        <v>208</v>
      </c>
      <c r="B60" s="7"/>
      <c r="C60" s="7"/>
      <c r="D60" s="2" t="s">
        <v>230</v>
      </c>
      <c r="E60" s="2" t="s">
        <v>17</v>
      </c>
      <c r="F60" s="3" t="str">
        <f>HYPERLINK("https://twitter.com/shelbystar","@shelbystar")</f>
        <v>@shelbystar</v>
      </c>
      <c r="G60" s="6" t="str">
        <f>HYPERLINK("mailto:shelbystar@shelbystar.com","shelbystar@shelbystar.com")</f>
        <v>shelbystar@shelbystar.com</v>
      </c>
      <c r="H60" s="2" t="s">
        <v>211</v>
      </c>
      <c r="I60" s="2" t="s">
        <v>212</v>
      </c>
      <c r="J60" s="2" t="s">
        <v>213</v>
      </c>
      <c r="K60" s="2" t="s">
        <v>21</v>
      </c>
      <c r="L60" s="2">
        <v>28150</v>
      </c>
      <c r="M60" s="2" t="s">
        <v>231</v>
      </c>
    </row>
    <row r="61" spans="1:13" ht="47.25" x14ac:dyDescent="0.25">
      <c r="A61" s="2" t="s">
        <v>208</v>
      </c>
      <c r="B61" s="7"/>
      <c r="C61" s="7"/>
      <c r="D61" s="2" t="s">
        <v>38</v>
      </c>
      <c r="E61" s="2" t="s">
        <v>17</v>
      </c>
      <c r="F61" s="3" t="str">
        <f>HYPERLINK("https://twitter.com/shelbystar","@shelbystar")</f>
        <v>@shelbystar</v>
      </c>
      <c r="G61" s="6" t="str">
        <f>HYPERLINK("mailto:shelbystar@shelbystar.com","shelbystar@shelbystar.com")</f>
        <v>shelbystar@shelbystar.com</v>
      </c>
      <c r="H61" s="2" t="s">
        <v>211</v>
      </c>
      <c r="I61" s="2" t="s">
        <v>212</v>
      </c>
      <c r="J61" s="2" t="s">
        <v>213</v>
      </c>
      <c r="K61" s="2" t="s">
        <v>21</v>
      </c>
      <c r="L61" s="2">
        <v>28150</v>
      </c>
      <c r="M61" s="2" t="s">
        <v>231</v>
      </c>
    </row>
    <row r="62" spans="1:13" ht="47.25" x14ac:dyDescent="0.25">
      <c r="A62" s="2" t="s">
        <v>208</v>
      </c>
      <c r="B62" s="2" t="s">
        <v>227</v>
      </c>
      <c r="C62" s="2" t="s">
        <v>228</v>
      </c>
      <c r="D62" s="2" t="s">
        <v>232</v>
      </c>
      <c r="E62" s="2" t="s">
        <v>17</v>
      </c>
      <c r="F62" s="3" t="str">
        <f>HYPERLINK("https://twitter.com/Star_J_Orlando","@Star_J_Orlando")</f>
        <v>@Star_J_Orlando</v>
      </c>
      <c r="G62" s="3" t="str">
        <f>HYPERLINK("mailto:jorlando@shelbystar.com","jorlando@shelbystar.com")</f>
        <v>jorlando@shelbystar.com</v>
      </c>
      <c r="H62" s="2" t="s">
        <v>211</v>
      </c>
      <c r="I62" s="2" t="s">
        <v>212</v>
      </c>
      <c r="J62" s="2" t="s">
        <v>213</v>
      </c>
      <c r="K62" s="2" t="s">
        <v>21</v>
      </c>
      <c r="L62" s="2">
        <v>28150</v>
      </c>
      <c r="M62" s="2" t="s">
        <v>226</v>
      </c>
    </row>
    <row r="63" spans="1:13" ht="47.25" x14ac:dyDescent="0.25">
      <c r="A63" s="2" t="s">
        <v>208</v>
      </c>
      <c r="B63" s="2" t="s">
        <v>219</v>
      </c>
      <c r="C63" s="2" t="s">
        <v>220</v>
      </c>
      <c r="D63" s="2" t="s">
        <v>221</v>
      </c>
      <c r="E63" s="2" t="s">
        <v>17</v>
      </c>
      <c r="F63" s="3" t="str">
        <f>HYPERLINK("https://twitter.com/CWhite_Star","@CWhite_Star")</f>
        <v>@CWhite_Star</v>
      </c>
      <c r="G63" s="3" t="str">
        <f>HYPERLINK("mailto:cwhite@shelbystar.com","cwhite@shelbystar.com")</f>
        <v>cwhite@shelbystar.com</v>
      </c>
      <c r="H63" s="2" t="s">
        <v>211</v>
      </c>
      <c r="I63" s="2" t="s">
        <v>212</v>
      </c>
      <c r="J63" s="2" t="s">
        <v>213</v>
      </c>
      <c r="K63" s="2" t="s">
        <v>21</v>
      </c>
      <c r="L63" s="2">
        <v>28150</v>
      </c>
      <c r="M63" s="2" t="s">
        <v>222</v>
      </c>
    </row>
    <row r="64" spans="1:13" ht="47.25" x14ac:dyDescent="0.25">
      <c r="A64" s="2" t="s">
        <v>208</v>
      </c>
      <c r="B64" s="7"/>
      <c r="C64" s="7"/>
      <c r="D64" s="2" t="s">
        <v>230</v>
      </c>
      <c r="E64" s="2" t="s">
        <v>17</v>
      </c>
      <c r="F64" s="3" t="str">
        <f>HYPERLINK("https://twitter.com/shelbystar","@shelbystar")</f>
        <v>@shelbystar</v>
      </c>
      <c r="G64" s="5" t="s">
        <v>233</v>
      </c>
      <c r="H64" s="2" t="s">
        <v>211</v>
      </c>
      <c r="I64" s="2" t="s">
        <v>212</v>
      </c>
      <c r="J64" s="2" t="s">
        <v>213</v>
      </c>
      <c r="K64" s="2" t="s">
        <v>21</v>
      </c>
      <c r="L64" s="2">
        <v>28150</v>
      </c>
      <c r="M64" s="2" t="s">
        <v>234</v>
      </c>
    </row>
    <row r="65" spans="1:13" ht="47.25" x14ac:dyDescent="0.25">
      <c r="A65" s="2" t="s">
        <v>208</v>
      </c>
      <c r="B65" s="7"/>
      <c r="C65" s="7"/>
      <c r="D65" s="2" t="s">
        <v>38</v>
      </c>
      <c r="E65" s="2" t="s">
        <v>17</v>
      </c>
      <c r="F65" s="3" t="str">
        <f>HYPERLINK("https://twitter.com/shelbystar","@shelbystar")</f>
        <v>@shelbystar</v>
      </c>
      <c r="G65" s="5" t="s">
        <v>235</v>
      </c>
      <c r="H65" s="2" t="s">
        <v>211</v>
      </c>
      <c r="I65" s="2" t="s">
        <v>212</v>
      </c>
      <c r="J65" s="2" t="s">
        <v>213</v>
      </c>
      <c r="K65" s="2" t="s">
        <v>21</v>
      </c>
      <c r="L65" s="2">
        <v>28150</v>
      </c>
      <c r="M65" s="2" t="s">
        <v>234</v>
      </c>
    </row>
    <row r="66" spans="1:13" ht="47.25" x14ac:dyDescent="0.25">
      <c r="A66" s="2" t="s">
        <v>236</v>
      </c>
      <c r="B66" s="2" t="s">
        <v>237</v>
      </c>
      <c r="C66" s="2" t="s">
        <v>238</v>
      </c>
      <c r="D66" s="2" t="s">
        <v>25</v>
      </c>
      <c r="E66" s="2" t="s">
        <v>17</v>
      </c>
      <c r="F66" s="3" t="s">
        <v>177</v>
      </c>
      <c r="G66" s="4" t="s">
        <v>239</v>
      </c>
      <c r="H66" s="2" t="s">
        <v>240</v>
      </c>
      <c r="I66" s="2" t="s">
        <v>241</v>
      </c>
      <c r="J66" s="2" t="s">
        <v>242</v>
      </c>
      <c r="K66" s="2" t="s">
        <v>21</v>
      </c>
      <c r="L66" s="2">
        <v>28562</v>
      </c>
      <c r="M66" s="2" t="s">
        <v>243</v>
      </c>
    </row>
    <row r="67" spans="1:13" ht="47.25" x14ac:dyDescent="0.25">
      <c r="A67" s="2" t="s">
        <v>236</v>
      </c>
      <c r="B67" s="2" t="s">
        <v>244</v>
      </c>
      <c r="C67" s="2" t="s">
        <v>245</v>
      </c>
      <c r="D67" s="2" t="s">
        <v>117</v>
      </c>
      <c r="E67" s="2" t="s">
        <v>17</v>
      </c>
      <c r="F67" s="5"/>
      <c r="G67" s="9" t="s">
        <v>246</v>
      </c>
      <c r="H67" s="2" t="s">
        <v>240</v>
      </c>
      <c r="I67" s="2" t="s">
        <v>241</v>
      </c>
      <c r="J67" s="2" t="s">
        <v>242</v>
      </c>
      <c r="K67" s="2" t="s">
        <v>21</v>
      </c>
      <c r="L67" s="2">
        <v>28562</v>
      </c>
      <c r="M67" s="2" t="s">
        <v>247</v>
      </c>
    </row>
    <row r="68" spans="1:13" ht="63" x14ac:dyDescent="0.25">
      <c r="A68" s="2" t="s">
        <v>236</v>
      </c>
      <c r="B68" s="2" t="s">
        <v>248</v>
      </c>
      <c r="C68" s="2" t="s">
        <v>249</v>
      </c>
      <c r="D68" s="2" t="s">
        <v>33</v>
      </c>
      <c r="E68" s="2" t="s">
        <v>17</v>
      </c>
      <c r="F68" s="3"/>
      <c r="G68" s="3" t="s">
        <v>250</v>
      </c>
      <c r="H68" s="2" t="s">
        <v>240</v>
      </c>
      <c r="I68" s="2" t="s">
        <v>241</v>
      </c>
      <c r="J68" s="2" t="s">
        <v>242</v>
      </c>
      <c r="K68" s="2" t="s">
        <v>21</v>
      </c>
      <c r="L68" s="2">
        <v>28562</v>
      </c>
      <c r="M68" s="2" t="s">
        <v>251</v>
      </c>
    </row>
    <row r="69" spans="1:13" ht="47.25" x14ac:dyDescent="0.25">
      <c r="A69" s="2" t="s">
        <v>236</v>
      </c>
      <c r="B69" s="2" t="s">
        <v>252</v>
      </c>
      <c r="C69" s="2" t="s">
        <v>253</v>
      </c>
      <c r="D69" s="2" t="s">
        <v>33</v>
      </c>
      <c r="E69" s="2" t="s">
        <v>17</v>
      </c>
      <c r="F69" s="3" t="str">
        <f>HYPERLINK("https://twitter.com/BillHandNBSJ","@BillHandNBSJ")</f>
        <v>@BillHandNBSJ</v>
      </c>
      <c r="G69" s="3" t="str">
        <f>HYPERLINK("mailto:bill.hand@newbernsj.com","bill.hand@newbernsj.com")</f>
        <v>bill.hand@newbernsj.com</v>
      </c>
      <c r="H69" s="2" t="s">
        <v>240</v>
      </c>
      <c r="I69" s="2" t="s">
        <v>241</v>
      </c>
      <c r="J69" s="2" t="s">
        <v>242</v>
      </c>
      <c r="K69" s="2" t="s">
        <v>21</v>
      </c>
      <c r="L69" s="2">
        <v>28562</v>
      </c>
      <c r="M69" s="2" t="s">
        <v>254</v>
      </c>
    </row>
    <row r="70" spans="1:13" ht="63" x14ac:dyDescent="0.25">
      <c r="A70" s="2" t="s">
        <v>236</v>
      </c>
      <c r="B70" s="2" t="s">
        <v>248</v>
      </c>
      <c r="C70" s="2" t="s">
        <v>249</v>
      </c>
      <c r="D70" s="2" t="s">
        <v>33</v>
      </c>
      <c r="E70" s="2" t="s">
        <v>17</v>
      </c>
      <c r="F70" s="3" t="str">
        <f>HYPERLINK("https://twitter.com/charliehallnbsj?lang=en","@CharlieHallNBSJ")</f>
        <v>@CharlieHallNBSJ</v>
      </c>
      <c r="G70" s="3" t="str">
        <f>HYPERLINK("mailto:charlie.hall@newbernsj.com","charlie.hall@newbernsj.com")</f>
        <v>charlie.hall@newbernsj.com</v>
      </c>
      <c r="H70" s="2" t="s">
        <v>240</v>
      </c>
      <c r="I70" s="2" t="s">
        <v>241</v>
      </c>
      <c r="J70" s="2" t="s">
        <v>242</v>
      </c>
      <c r="K70" s="2" t="s">
        <v>21</v>
      </c>
      <c r="L70" s="2">
        <v>28562</v>
      </c>
      <c r="M70" s="2" t="s">
        <v>255</v>
      </c>
    </row>
    <row r="71" spans="1:13" ht="63" x14ac:dyDescent="0.25">
      <c r="A71" s="2" t="s">
        <v>236</v>
      </c>
      <c r="B71" s="2" t="s">
        <v>256</v>
      </c>
      <c r="C71" s="2" t="s">
        <v>257</v>
      </c>
      <c r="D71" s="2" t="s">
        <v>33</v>
      </c>
      <c r="E71" s="2" t="s">
        <v>17</v>
      </c>
      <c r="F71" s="6" t="str">
        <f>HYPERLINK("https://twitter.com/EFitzgeraldNBSJ","@EFitzgeraldNBSJ")</f>
        <v>@EFitzgeraldNBSJ</v>
      </c>
      <c r="G71" s="3" t="str">
        <f>HYPERLINK("mailto:eddie.fitzgerald@newbernsj.com","eddie.fitzgerald@newbernsj.com")</f>
        <v>eddie.fitzgerald@newbernsj.com</v>
      </c>
      <c r="H71" s="2" t="s">
        <v>240</v>
      </c>
      <c r="I71" s="2" t="s">
        <v>241</v>
      </c>
      <c r="J71" s="2" t="s">
        <v>242</v>
      </c>
      <c r="K71" s="2" t="s">
        <v>21</v>
      </c>
      <c r="L71" s="2">
        <v>28562</v>
      </c>
      <c r="M71" s="2" t="s">
        <v>258</v>
      </c>
    </row>
    <row r="72" spans="1:13" ht="63" x14ac:dyDescent="0.25">
      <c r="A72" s="2" t="s">
        <v>236</v>
      </c>
      <c r="B72" s="7"/>
      <c r="C72" s="7"/>
      <c r="D72" s="2" t="s">
        <v>37</v>
      </c>
      <c r="E72" s="2" t="s">
        <v>17</v>
      </c>
      <c r="F72" s="3" t="str">
        <f>HYPERLINK("https://twitter.com/NBSunJournal","@NBSunJournal")</f>
        <v>@NBSunJournal</v>
      </c>
      <c r="G72" s="3" t="str">
        <f>HYPERLINK("mailto:sjnewsroom@newbernsj.com","sjnewsroom@newbernsj.com")</f>
        <v>sjnewsroom@newbernsj.com</v>
      </c>
      <c r="H72" s="2" t="s">
        <v>240</v>
      </c>
      <c r="I72" s="2" t="s">
        <v>241</v>
      </c>
      <c r="J72" s="2" t="s">
        <v>242</v>
      </c>
      <c r="K72" s="2" t="s">
        <v>21</v>
      </c>
      <c r="L72" s="2">
        <v>28562</v>
      </c>
      <c r="M72" s="2" t="s">
        <v>251</v>
      </c>
    </row>
    <row r="73" spans="1:13" ht="47.25" x14ac:dyDescent="0.25">
      <c r="A73" s="2" t="s">
        <v>236</v>
      </c>
      <c r="B73" s="7"/>
      <c r="C73" s="7"/>
      <c r="D73" s="2" t="s">
        <v>38</v>
      </c>
      <c r="E73" s="2" t="s">
        <v>17</v>
      </c>
      <c r="F73" s="3" t="str">
        <f>HYPERLINK("https://twitter.com/NBSunJournal","@NBSunJournal")</f>
        <v>@NBSunJournal</v>
      </c>
      <c r="G73" s="3" t="str">
        <f>HYPERLINK("mailto:sjletters@newbernsj.com","sjletters@newbernsj.com")</f>
        <v>sjletters@newbernsj.com</v>
      </c>
      <c r="H73" s="2" t="s">
        <v>240</v>
      </c>
      <c r="I73" s="2" t="s">
        <v>241</v>
      </c>
      <c r="J73" s="2" t="s">
        <v>242</v>
      </c>
      <c r="K73" s="2" t="s">
        <v>21</v>
      </c>
      <c r="L73" s="2">
        <v>28562</v>
      </c>
      <c r="M73" s="2" t="s">
        <v>243</v>
      </c>
    </row>
    <row r="74" spans="1:13" ht="63" x14ac:dyDescent="0.25">
      <c r="A74" s="2" t="s">
        <v>259</v>
      </c>
      <c r="B74" s="2" t="s">
        <v>260</v>
      </c>
      <c r="C74" s="2" t="s">
        <v>261</v>
      </c>
      <c r="D74" s="2" t="s">
        <v>16</v>
      </c>
      <c r="E74" s="2" t="s">
        <v>17</v>
      </c>
      <c r="F74" s="2"/>
      <c r="G74" s="3" t="str">
        <f>HYPERLINK("mailto:gruberr@fayobserver.com","gruberr@fayobserver.com")</f>
        <v>gruberr@fayobserver.com</v>
      </c>
      <c r="H74" s="2" t="s">
        <v>262</v>
      </c>
      <c r="I74" s="2" t="s">
        <v>263</v>
      </c>
      <c r="J74" s="2" t="s">
        <v>264</v>
      </c>
      <c r="K74" s="2" t="s">
        <v>21</v>
      </c>
      <c r="L74" s="2">
        <v>28302</v>
      </c>
      <c r="M74" s="2" t="s">
        <v>265</v>
      </c>
    </row>
    <row r="75" spans="1:13" ht="63" x14ac:dyDescent="0.25">
      <c r="A75" s="2" t="s">
        <v>259</v>
      </c>
      <c r="B75" s="2" t="s">
        <v>266</v>
      </c>
      <c r="C75" s="2" t="s">
        <v>267</v>
      </c>
      <c r="D75" s="2" t="s">
        <v>268</v>
      </c>
      <c r="E75" s="2" t="s">
        <v>17</v>
      </c>
      <c r="F75" s="3" t="str">
        <f>HYPERLINK("https://twitter.com/matt_leclercq?lang=en","@Matt_Leclercq")</f>
        <v>@Matt_Leclercq</v>
      </c>
      <c r="G75" s="3" t="str">
        <f>HYPERLINK("mailto:mleclercq@fayobserver.com","mleclercq@fayobserver.com")</f>
        <v>mleclercq@fayobserver.com</v>
      </c>
      <c r="H75" s="2" t="s">
        <v>262</v>
      </c>
      <c r="I75" s="2" t="s">
        <v>263</v>
      </c>
      <c r="J75" s="2" t="s">
        <v>264</v>
      </c>
      <c r="K75" s="2" t="s">
        <v>21</v>
      </c>
      <c r="L75" s="2">
        <v>28302</v>
      </c>
      <c r="M75" s="2" t="s">
        <v>269</v>
      </c>
    </row>
    <row r="76" spans="1:13" ht="63" x14ac:dyDescent="0.25">
      <c r="A76" s="2" t="s">
        <v>259</v>
      </c>
      <c r="B76" s="2" t="s">
        <v>179</v>
      </c>
      <c r="C76" s="2" t="s">
        <v>220</v>
      </c>
      <c r="D76" s="2" t="s">
        <v>270</v>
      </c>
      <c r="E76" s="2" t="s">
        <v>17</v>
      </c>
      <c r="F76" s="3" t="str">
        <f>HYPERLINK("https://twitter.com/whattimsaid?lang=en","@WhatTimSaid")</f>
        <v>@WhatTimSaid</v>
      </c>
      <c r="G76" s="3" t="str">
        <f>HYPERLINK("mailto:twhite@fayobserver.com","twhite@fayobserver.com")</f>
        <v>twhite@fayobserver.com</v>
      </c>
      <c r="H76" s="2" t="s">
        <v>262</v>
      </c>
      <c r="I76" s="2" t="s">
        <v>263</v>
      </c>
      <c r="J76" s="2" t="s">
        <v>264</v>
      </c>
      <c r="K76" s="2" t="s">
        <v>21</v>
      </c>
      <c r="L76" s="2">
        <v>28302</v>
      </c>
      <c r="M76" s="2" t="s">
        <v>271</v>
      </c>
    </row>
    <row r="77" spans="1:13" ht="63" x14ac:dyDescent="0.25">
      <c r="A77" s="2" t="s">
        <v>259</v>
      </c>
      <c r="B77" s="2" t="s">
        <v>272</v>
      </c>
      <c r="C77" s="2" t="s">
        <v>36</v>
      </c>
      <c r="D77" s="2" t="s">
        <v>273</v>
      </c>
      <c r="E77" s="2" t="s">
        <v>17</v>
      </c>
      <c r="F77" s="3" t="str">
        <f>HYPERLINK("https://twitter.com/FO_Williams","@FO_Williams")</f>
        <v>@FO_Williams</v>
      </c>
      <c r="G77" s="3" t="str">
        <f>HYPERLINK("mailto:lwilliams@fayobserver.com","lwilliams@fayobserver.com")</f>
        <v>lwilliams@fayobserver.com</v>
      </c>
      <c r="H77" s="2" t="s">
        <v>262</v>
      </c>
      <c r="I77" s="2" t="s">
        <v>263</v>
      </c>
      <c r="J77" s="2" t="s">
        <v>264</v>
      </c>
      <c r="K77" s="2" t="s">
        <v>21</v>
      </c>
      <c r="L77" s="2">
        <v>28302</v>
      </c>
      <c r="M77" s="2" t="s">
        <v>274</v>
      </c>
    </row>
    <row r="78" spans="1:13" ht="63" x14ac:dyDescent="0.25">
      <c r="A78" s="2" t="s">
        <v>259</v>
      </c>
      <c r="B78" s="2" t="s">
        <v>275</v>
      </c>
      <c r="C78" s="2" t="s">
        <v>276</v>
      </c>
      <c r="D78" s="2" t="s">
        <v>277</v>
      </c>
      <c r="E78" s="7" t="s">
        <v>17</v>
      </c>
      <c r="F78" s="3" t="str">
        <f>HYPERLINK("https://twitter.com/FO_Wooten","@FO_Wooten")</f>
        <v>@FO_Wooten</v>
      </c>
      <c r="G78" s="3" t="str">
        <f>HYPERLINK("mailto:awooten@fayobserver.com","awooten@fayobserver.com")</f>
        <v>awooten@fayobserver.com</v>
      </c>
      <c r="H78" s="2" t="s">
        <v>262</v>
      </c>
      <c r="I78" s="2" t="s">
        <v>263</v>
      </c>
      <c r="J78" s="2" t="s">
        <v>264</v>
      </c>
      <c r="K78" s="2" t="s">
        <v>21</v>
      </c>
      <c r="L78" s="2">
        <v>28302</v>
      </c>
      <c r="M78" s="2" t="s">
        <v>278</v>
      </c>
    </row>
    <row r="79" spans="1:13" ht="78.75" x14ac:dyDescent="0.25">
      <c r="A79" s="2" t="s">
        <v>259</v>
      </c>
      <c r="B79" s="2" t="s">
        <v>279</v>
      </c>
      <c r="C79" s="2" t="s">
        <v>280</v>
      </c>
      <c r="D79" s="2" t="s">
        <v>281</v>
      </c>
      <c r="E79" s="2" t="s">
        <v>17</v>
      </c>
      <c r="F79" s="3" t="str">
        <f>HYPERLINK("https://twitter.com/rodgermullen?lang=en","@RodgerMullen")</f>
        <v>@RodgerMullen</v>
      </c>
      <c r="G79" s="3" t="str">
        <f>HYPERLINK("mailto:rmullen@fayobserver.com","rmullen@fayobserver.com")</f>
        <v>rmullen@fayobserver.com</v>
      </c>
      <c r="H79" s="2" t="s">
        <v>262</v>
      </c>
      <c r="I79" s="2" t="s">
        <v>263</v>
      </c>
      <c r="J79" s="2" t="s">
        <v>264</v>
      </c>
      <c r="K79" s="2" t="s">
        <v>21</v>
      </c>
      <c r="L79" s="2">
        <v>28302</v>
      </c>
      <c r="M79" s="7"/>
    </row>
    <row r="80" spans="1:13" ht="63" x14ac:dyDescent="0.25">
      <c r="A80" s="2" t="s">
        <v>259</v>
      </c>
      <c r="B80" s="2" t="s">
        <v>282</v>
      </c>
      <c r="C80" s="2" t="s">
        <v>283</v>
      </c>
      <c r="D80" s="2" t="s">
        <v>284</v>
      </c>
      <c r="E80" s="2" t="s">
        <v>17</v>
      </c>
      <c r="F80" s="3" t="str">
        <f>HYPERLINK("https://twitter.com/hastykim?lang=en","@hastykim")</f>
        <v>@hastykim</v>
      </c>
      <c r="G80" s="3" t="str">
        <f>HYPERLINK("mailto:khasty@fayobserver.com","khasty@fayobserver.com")</f>
        <v>khasty@fayobserver.com</v>
      </c>
      <c r="H80" s="2" t="s">
        <v>262</v>
      </c>
      <c r="I80" s="2" t="s">
        <v>263</v>
      </c>
      <c r="J80" s="2" t="s">
        <v>264</v>
      </c>
      <c r="K80" s="2" t="s">
        <v>21</v>
      </c>
      <c r="L80" s="2">
        <v>28302</v>
      </c>
      <c r="M80" s="2" t="s">
        <v>285</v>
      </c>
    </row>
    <row r="81" spans="1:13" ht="63" x14ac:dyDescent="0.25">
      <c r="A81" s="2" t="s">
        <v>259</v>
      </c>
      <c r="B81" s="2" t="s">
        <v>286</v>
      </c>
      <c r="C81" s="2" t="s">
        <v>287</v>
      </c>
      <c r="D81" s="2" t="s">
        <v>288</v>
      </c>
      <c r="E81" s="2" t="s">
        <v>17</v>
      </c>
      <c r="F81" s="3" t="str">
        <f>HYPERLINK("https://twitter.com/drewbrooks","@DrewBrooks")</f>
        <v>@DrewBrooks</v>
      </c>
      <c r="G81" s="3" t="str">
        <f>HYPERLINK("mailto:dbrooks@fayobserver.com","dbrooks@fayobserver.com")</f>
        <v>dbrooks@fayobserver.com</v>
      </c>
      <c r="H81" s="2" t="s">
        <v>262</v>
      </c>
      <c r="I81" s="2" t="s">
        <v>263</v>
      </c>
      <c r="J81" s="2" t="s">
        <v>264</v>
      </c>
      <c r="K81" s="2" t="s">
        <v>21</v>
      </c>
      <c r="L81" s="2">
        <v>28302</v>
      </c>
      <c r="M81" s="2" t="s">
        <v>289</v>
      </c>
    </row>
    <row r="82" spans="1:13" ht="63" x14ac:dyDescent="0.25">
      <c r="A82" s="2" t="s">
        <v>259</v>
      </c>
      <c r="B82" s="2" t="s">
        <v>290</v>
      </c>
      <c r="C82" s="2" t="s">
        <v>291</v>
      </c>
      <c r="D82" s="2" t="s">
        <v>292</v>
      </c>
      <c r="E82" s="2" t="s">
        <v>17</v>
      </c>
      <c r="F82" s="6" t="str">
        <f>HYPERLINK("https://twitter.com/amandadfo","@AmandaDFO")</f>
        <v>@AmandaDFO</v>
      </c>
      <c r="G82" s="3" t="str">
        <f>HYPERLINK("mailto:adolasinski@fayobserver.com","adolasinski@fayobserver.com")</f>
        <v>adolasinski@fayobserver.com</v>
      </c>
      <c r="H82" s="2" t="s">
        <v>262</v>
      </c>
      <c r="I82" s="2" t="s">
        <v>263</v>
      </c>
      <c r="J82" s="2" t="s">
        <v>264</v>
      </c>
      <c r="K82" s="2" t="s">
        <v>21</v>
      </c>
      <c r="L82" s="2">
        <v>28302</v>
      </c>
      <c r="M82" s="2" t="s">
        <v>293</v>
      </c>
    </row>
    <row r="83" spans="1:13" ht="63" x14ac:dyDescent="0.25">
      <c r="A83" s="2" t="s">
        <v>259</v>
      </c>
      <c r="B83" s="2" t="s">
        <v>294</v>
      </c>
      <c r="C83" s="2" t="s">
        <v>295</v>
      </c>
      <c r="D83" s="2" t="s">
        <v>296</v>
      </c>
      <c r="E83" s="2" t="s">
        <v>17</v>
      </c>
      <c r="F83" s="3" t="str">
        <f>HYPERLINK("https://twitter.com/GregBarnesABC11","@GregBarnesABC11")</f>
        <v>@GregBarnesABC11</v>
      </c>
      <c r="G83" s="3" t="str">
        <f>HYPERLINK("mailto:gbarnes@fayobserver.com","gbarnes@fayobserver.com")</f>
        <v>gbarnes@fayobserver.com</v>
      </c>
      <c r="H83" s="2" t="s">
        <v>262</v>
      </c>
      <c r="I83" s="2" t="s">
        <v>263</v>
      </c>
      <c r="J83" s="2" t="s">
        <v>264</v>
      </c>
      <c r="K83" s="2" t="s">
        <v>21</v>
      </c>
      <c r="L83" s="2">
        <v>28302</v>
      </c>
      <c r="M83" s="2" t="s">
        <v>297</v>
      </c>
    </row>
    <row r="84" spans="1:13" ht="63" x14ac:dyDescent="0.25">
      <c r="A84" s="2" t="s">
        <v>259</v>
      </c>
      <c r="B84" s="2" t="s">
        <v>104</v>
      </c>
      <c r="C84" s="2" t="s">
        <v>298</v>
      </c>
      <c r="D84" s="2" t="s">
        <v>299</v>
      </c>
      <c r="E84" s="2" t="s">
        <v>17</v>
      </c>
      <c r="F84" s="3" t="str">
        <f>HYPERLINK("https://twitter.com/fo_futch","@FO_Futch")</f>
        <v>@FO_Futch</v>
      </c>
      <c r="G84" s="3" t="str">
        <f>HYPERLINK("mailto:mfutch@fayobserver.com","mfutch@fayobserver.com")</f>
        <v>mfutch@fayobserver.com</v>
      </c>
      <c r="H84" s="2" t="s">
        <v>262</v>
      </c>
      <c r="I84" s="2" t="s">
        <v>263</v>
      </c>
      <c r="J84" s="2" t="s">
        <v>264</v>
      </c>
      <c r="K84" s="2" t="s">
        <v>21</v>
      </c>
      <c r="L84" s="2">
        <v>28302</v>
      </c>
      <c r="M84" s="2" t="s">
        <v>300</v>
      </c>
    </row>
    <row r="85" spans="1:13" ht="94.5" x14ac:dyDescent="0.25">
      <c r="A85" s="2" t="s">
        <v>259</v>
      </c>
      <c r="B85" s="2" t="s">
        <v>14</v>
      </c>
      <c r="C85" s="2" t="s">
        <v>301</v>
      </c>
      <c r="D85" s="2" t="s">
        <v>302</v>
      </c>
      <c r="E85" s="2" t="s">
        <v>17</v>
      </c>
      <c r="F85" s="3" t="str">
        <f>HYPERLINK("https://twitter.com/FO_Woolverton","@FO_Woolverton")</f>
        <v>@FO_Woolverton</v>
      </c>
      <c r="G85" s="3" t="str">
        <f>HYPERLINK("mailto:pwoolverton@fayobserver.com","pwoolverton@fayobserver.com")</f>
        <v>pwoolverton@fayobserver.com</v>
      </c>
      <c r="H85" s="2" t="s">
        <v>262</v>
      </c>
      <c r="I85" s="2" t="s">
        <v>263</v>
      </c>
      <c r="J85" s="2" t="s">
        <v>264</v>
      </c>
      <c r="K85" s="2" t="s">
        <v>21</v>
      </c>
      <c r="L85" s="2">
        <v>28302</v>
      </c>
      <c r="M85" s="2" t="s">
        <v>303</v>
      </c>
    </row>
    <row r="86" spans="1:13" ht="63" x14ac:dyDescent="0.25">
      <c r="A86" s="2" t="s">
        <v>259</v>
      </c>
      <c r="B86" s="2" t="s">
        <v>304</v>
      </c>
      <c r="C86" s="2" t="s">
        <v>305</v>
      </c>
      <c r="D86" s="2" t="s">
        <v>306</v>
      </c>
      <c r="E86" s="2" t="s">
        <v>17</v>
      </c>
      <c r="F86" s="3" t="str">
        <f>HYPERLINK("https://twitter.com/WriterDeVane","@WriterDeVane")</f>
        <v>@WriterDeVane</v>
      </c>
      <c r="G86" s="3" t="str">
        <f>HYPERLINK("mailto:sdevane@fayobserver.com","sdevane@fayobserver.com")</f>
        <v>sdevane@fayobserver.com</v>
      </c>
      <c r="H86" s="2" t="s">
        <v>262</v>
      </c>
      <c r="I86" s="2" t="s">
        <v>263</v>
      </c>
      <c r="J86" s="2" t="s">
        <v>264</v>
      </c>
      <c r="K86" s="2" t="s">
        <v>21</v>
      </c>
      <c r="L86" s="2">
        <v>28302</v>
      </c>
      <c r="M86" s="2" t="s">
        <v>307</v>
      </c>
    </row>
    <row r="87" spans="1:13" ht="63" x14ac:dyDescent="0.25">
      <c r="A87" s="2" t="s">
        <v>259</v>
      </c>
      <c r="B87" s="2" t="s">
        <v>308</v>
      </c>
      <c r="C87" s="2" t="s">
        <v>309</v>
      </c>
      <c r="D87" s="2" t="s">
        <v>194</v>
      </c>
      <c r="E87" s="2" t="s">
        <v>17</v>
      </c>
      <c r="F87" s="3" t="str">
        <f>HYPERLINK("https://twitter.com/FO_weather","@FO_weather")</f>
        <v>@FO_weather</v>
      </c>
      <c r="G87" s="3" t="str">
        <f>HYPERLINK("mailto:cjacobs@fayobserver.com","cjacobs@fayobserver.com")</f>
        <v>cjacobs@fayobserver.com</v>
      </c>
      <c r="H87" s="2" t="s">
        <v>262</v>
      </c>
      <c r="I87" s="2" t="s">
        <v>263</v>
      </c>
      <c r="J87" s="2" t="s">
        <v>264</v>
      </c>
      <c r="K87" s="2" t="s">
        <v>21</v>
      </c>
      <c r="L87" s="2">
        <v>28302</v>
      </c>
      <c r="M87" s="2" t="s">
        <v>310</v>
      </c>
    </row>
    <row r="88" spans="1:13" ht="63" x14ac:dyDescent="0.25">
      <c r="A88" s="2" t="s">
        <v>259</v>
      </c>
      <c r="B88" s="2" t="s">
        <v>311</v>
      </c>
      <c r="C88" s="2" t="s">
        <v>312</v>
      </c>
      <c r="D88" s="2" t="s">
        <v>313</v>
      </c>
      <c r="E88" s="2" t="s">
        <v>17</v>
      </c>
      <c r="F88" s="3" t="str">
        <f>HYPERLINK("https://twitter.com/FO_McCleary","@FO_McCleary")</f>
        <v>@FO_McCleary</v>
      </c>
      <c r="G88" s="3" t="str">
        <f>HYPERLINK("mailto:nmccleary@fayobserver.com","nmccleary@fayobserver.com")</f>
        <v>nmccleary@fayobserver.com</v>
      </c>
      <c r="H88" s="2" t="s">
        <v>262</v>
      </c>
      <c r="I88" s="2" t="s">
        <v>263</v>
      </c>
      <c r="J88" s="2" t="s">
        <v>264</v>
      </c>
      <c r="K88" s="2" t="s">
        <v>21</v>
      </c>
      <c r="L88" s="2">
        <v>28302</v>
      </c>
      <c r="M88" s="2" t="s">
        <v>314</v>
      </c>
    </row>
    <row r="89" spans="1:13" ht="78.75" x14ac:dyDescent="0.25">
      <c r="A89" s="2" t="s">
        <v>259</v>
      </c>
      <c r="B89" s="2" t="s">
        <v>315</v>
      </c>
      <c r="C89" s="2" t="s">
        <v>316</v>
      </c>
      <c r="D89" s="2" t="s">
        <v>317</v>
      </c>
      <c r="E89" s="2" t="s">
        <v>17</v>
      </c>
      <c r="F89" s="3" t="str">
        <f>HYPERLINK("https://twitter.com/mvendituoli","@mvendituoli")</f>
        <v>@mvendituoli</v>
      </c>
      <c r="G89" s="3" t="str">
        <f>HYPERLINK("mailto:mvendituoli@fayobserver.com","mvendituoli@fayobserver.com")</f>
        <v>mvendituoli@fayobserver.com</v>
      </c>
      <c r="H89" s="2" t="s">
        <v>262</v>
      </c>
      <c r="I89" s="2" t="s">
        <v>263</v>
      </c>
      <c r="J89" s="2" t="s">
        <v>264</v>
      </c>
      <c r="K89" s="2" t="s">
        <v>21</v>
      </c>
      <c r="L89" s="2">
        <v>28302</v>
      </c>
      <c r="M89" s="2" t="s">
        <v>318</v>
      </c>
    </row>
    <row r="90" spans="1:13" ht="63" x14ac:dyDescent="0.25">
      <c r="A90" s="2" t="s">
        <v>259</v>
      </c>
      <c r="B90" s="2" t="s">
        <v>319</v>
      </c>
      <c r="C90" s="2" t="s">
        <v>320</v>
      </c>
      <c r="D90" s="2" t="s">
        <v>321</v>
      </c>
      <c r="E90" s="2" t="s">
        <v>17</v>
      </c>
      <c r="F90" s="3" t="str">
        <f>HYPERLINK("https://twitter.com/FOmyronpitts","@FOmyronpitts")</f>
        <v>@FOmyronpitts</v>
      </c>
      <c r="G90" s="3" t="str">
        <f>HYPERLINK("mailto:mpitts@fayobserver.com","mpitts@fayobserver.com")</f>
        <v>mpitts@fayobserver.com</v>
      </c>
      <c r="H90" s="2" t="s">
        <v>262</v>
      </c>
      <c r="I90" s="2" t="s">
        <v>263</v>
      </c>
      <c r="J90" s="2" t="s">
        <v>264</v>
      </c>
      <c r="K90" s="2" t="s">
        <v>21</v>
      </c>
      <c r="L90" s="2">
        <v>28302</v>
      </c>
      <c r="M90" s="2" t="s">
        <v>322</v>
      </c>
    </row>
    <row r="91" spans="1:13" ht="63" x14ac:dyDescent="0.25">
      <c r="A91" s="2" t="s">
        <v>259</v>
      </c>
      <c r="B91" s="2" t="s">
        <v>252</v>
      </c>
      <c r="C91" s="2" t="s">
        <v>323</v>
      </c>
      <c r="D91" s="2" t="s">
        <v>324</v>
      </c>
      <c r="E91" s="2" t="s">
        <v>17</v>
      </c>
      <c r="F91" s="3" t="str">
        <f>HYPERLINK("https://twitter.com/wbkirbyjr","@wbkirbyjr")</f>
        <v>@wbkirbyjr</v>
      </c>
      <c r="G91" s="3" t="str">
        <f>HYPERLINK("https://twitter.com/wbkirbyjr","bkirby@fayobserver.com")</f>
        <v>bkirby@fayobserver.com</v>
      </c>
      <c r="H91" s="2" t="s">
        <v>262</v>
      </c>
      <c r="I91" s="2" t="s">
        <v>263</v>
      </c>
      <c r="J91" s="2" t="s">
        <v>264</v>
      </c>
      <c r="K91" s="2" t="s">
        <v>21</v>
      </c>
      <c r="L91" s="2">
        <v>28302</v>
      </c>
      <c r="M91" s="2" t="s">
        <v>325</v>
      </c>
    </row>
    <row r="92" spans="1:13" ht="63" x14ac:dyDescent="0.25">
      <c r="A92" s="2" t="s">
        <v>259</v>
      </c>
      <c r="B92" s="7"/>
      <c r="C92" s="7"/>
      <c r="D92" s="2" t="s">
        <v>37</v>
      </c>
      <c r="E92" s="2" t="s">
        <v>17</v>
      </c>
      <c r="F92" s="3" t="str">
        <f>HYPERLINK("https://twitter.com/fayobserver","@fayobserver")</f>
        <v>@fayobserver</v>
      </c>
      <c r="G92" s="3" t="str">
        <f>HYPERLINK("mailto:news@fayobserver.com","news@fayobserver.com")</f>
        <v>news@fayobserver.com</v>
      </c>
      <c r="H92" s="2" t="s">
        <v>262</v>
      </c>
      <c r="I92" s="2" t="s">
        <v>263</v>
      </c>
      <c r="J92" s="2" t="s">
        <v>264</v>
      </c>
      <c r="K92" s="2" t="s">
        <v>21</v>
      </c>
      <c r="L92" s="2">
        <v>28302</v>
      </c>
      <c r="M92" s="2" t="s">
        <v>326</v>
      </c>
    </row>
    <row r="93" spans="1:13" ht="63" x14ac:dyDescent="0.25">
      <c r="A93" s="2" t="s">
        <v>259</v>
      </c>
      <c r="B93" s="7"/>
      <c r="C93" s="7"/>
      <c r="D93" s="2" t="s">
        <v>38</v>
      </c>
      <c r="E93" s="2" t="s">
        <v>17</v>
      </c>
      <c r="F93" s="3" t="str">
        <f>HYPERLINK("https://twitter.com/fayobserver","@fayobserver")</f>
        <v>@fayobserver</v>
      </c>
      <c r="G93" s="3" t="str">
        <f>HYPERLINK("mailto:eletters@fayobserver.com","eletters@fayobserver.com")</f>
        <v>eletters@fayobserver.com</v>
      </c>
      <c r="H93" s="2" t="s">
        <v>262</v>
      </c>
      <c r="I93" s="2" t="s">
        <v>263</v>
      </c>
      <c r="J93" s="2" t="s">
        <v>264</v>
      </c>
      <c r="K93" s="2" t="s">
        <v>21</v>
      </c>
      <c r="L93" s="2">
        <v>28302</v>
      </c>
      <c r="M93" s="2" t="s">
        <v>327</v>
      </c>
    </row>
    <row r="94" spans="1:13" ht="78.75" x14ac:dyDescent="0.25">
      <c r="A94" s="2" t="s">
        <v>328</v>
      </c>
      <c r="B94" s="2" t="s">
        <v>329</v>
      </c>
      <c r="C94" s="2" t="s">
        <v>330</v>
      </c>
      <c r="D94" s="2" t="s">
        <v>331</v>
      </c>
      <c r="E94" s="2" t="s">
        <v>17</v>
      </c>
      <c r="F94" s="3" t="str">
        <f>HYPERLINK("https://twitter.com/jeffhampton56","@jeffhampton56")</f>
        <v>@jeffhampton56</v>
      </c>
      <c r="G94" s="3" t="str">
        <f>HYPERLINK("mailto:jeff.hampton@pilotonline.com","jeff.hampton@pilotonline.com")</f>
        <v>jeff.hampton@pilotonline.com</v>
      </c>
      <c r="H94" s="2" t="s">
        <v>332</v>
      </c>
      <c r="I94" s="2" t="s">
        <v>333</v>
      </c>
      <c r="J94" s="2" t="s">
        <v>334</v>
      </c>
      <c r="K94" s="2" t="s">
        <v>21</v>
      </c>
      <c r="L94" s="2">
        <v>28782</v>
      </c>
      <c r="M94" s="2" t="s">
        <v>335</v>
      </c>
    </row>
    <row r="95" spans="1:13" ht="63" x14ac:dyDescent="0.25">
      <c r="A95" s="2" t="s">
        <v>336</v>
      </c>
      <c r="B95" s="2" t="s">
        <v>337</v>
      </c>
      <c r="C95" s="2" t="s">
        <v>338</v>
      </c>
      <c r="D95" s="2" t="s">
        <v>268</v>
      </c>
      <c r="E95" s="2" t="s">
        <v>17</v>
      </c>
      <c r="F95" s="3" t="str">
        <f>HYPERLINK("https://twitter.com/HScottJ67","@HScottJ67")</f>
        <v>@HScottJ67</v>
      </c>
      <c r="G95" s="3" t="str">
        <f>HYPERLINK("mailto:jenkins@the-dispatch.com","jenkins@the-dispatch.com")</f>
        <v>jenkins@the-dispatch.com</v>
      </c>
      <c r="H95" s="2" t="s">
        <v>339</v>
      </c>
      <c r="I95" s="2" t="s">
        <v>340</v>
      </c>
      <c r="J95" s="2" t="s">
        <v>341</v>
      </c>
      <c r="K95" s="2" t="s">
        <v>21</v>
      </c>
      <c r="L95" s="2">
        <v>27292</v>
      </c>
      <c r="M95" s="2" t="s">
        <v>342</v>
      </c>
    </row>
    <row r="96" spans="1:13" ht="63" x14ac:dyDescent="0.25">
      <c r="A96" s="2" t="s">
        <v>336</v>
      </c>
      <c r="B96" s="2" t="s">
        <v>343</v>
      </c>
      <c r="C96" s="2" t="s">
        <v>344</v>
      </c>
      <c r="D96" s="2" t="s">
        <v>33</v>
      </c>
      <c r="E96" s="2" t="s">
        <v>17</v>
      </c>
      <c r="F96" s="3" t="str">
        <f>HYPERLINK("https://twitter.com/LexDispatchJH","@LexDispatchJH")</f>
        <v>@LexDispatchJH</v>
      </c>
      <c r="G96" s="3" t="s">
        <v>345</v>
      </c>
      <c r="H96" s="2" t="s">
        <v>339</v>
      </c>
      <c r="I96" s="2" t="s">
        <v>340</v>
      </c>
      <c r="J96" s="2" t="s">
        <v>341</v>
      </c>
      <c r="K96" s="2" t="s">
        <v>21</v>
      </c>
      <c r="L96" s="2">
        <v>27292</v>
      </c>
      <c r="M96" s="2" t="s">
        <v>346</v>
      </c>
    </row>
    <row r="97" spans="1:13" ht="78.75" x14ac:dyDescent="0.25">
      <c r="A97" s="2" t="s">
        <v>336</v>
      </c>
      <c r="B97" s="2" t="s">
        <v>140</v>
      </c>
      <c r="C97" s="2" t="s">
        <v>347</v>
      </c>
      <c r="D97" s="2" t="s">
        <v>33</v>
      </c>
      <c r="E97" s="2" t="s">
        <v>17</v>
      </c>
      <c r="F97" s="3" t="str">
        <f>HYPERLINK("https://twitter.com/LexDispatchSM","@LexDispatchSM")</f>
        <v>@LexDispatchSM</v>
      </c>
      <c r="G97" s="3" t="str">
        <f>HYPERLINK("mailto:sharon.myers@the-dispatch.com","sharon.myers@the-dispatch.com")</f>
        <v>sharon.myers@the-dispatch.com</v>
      </c>
      <c r="H97" s="2" t="s">
        <v>339</v>
      </c>
      <c r="I97" s="2" t="s">
        <v>340</v>
      </c>
      <c r="J97" s="2" t="s">
        <v>341</v>
      </c>
      <c r="K97" s="2" t="s">
        <v>21</v>
      </c>
      <c r="L97" s="2">
        <v>27292</v>
      </c>
      <c r="M97" s="2" t="s">
        <v>348</v>
      </c>
    </row>
    <row r="98" spans="1:13" ht="78.75" x14ac:dyDescent="0.25">
      <c r="A98" s="2" t="s">
        <v>336</v>
      </c>
      <c r="B98" s="2" t="s">
        <v>349</v>
      </c>
      <c r="C98" s="2" t="s">
        <v>350</v>
      </c>
      <c r="D98" s="2" t="s">
        <v>351</v>
      </c>
      <c r="E98" s="2" t="s">
        <v>17</v>
      </c>
      <c r="F98" s="3" t="str">
        <f>HYPERLINK("https://twitter.com/dossraines?lang=en","@DossRaines")</f>
        <v>@DossRaines</v>
      </c>
      <c r="G98" s="3" t="str">
        <f>HYPERLINK("mailto:jill.doss-raines@the-dispatch.com","jill.doss-raines@the-dispatch.com")</f>
        <v>jill.doss-raines@the-dispatch.com</v>
      </c>
      <c r="H98" s="2" t="s">
        <v>339</v>
      </c>
      <c r="I98" s="2" t="s">
        <v>340</v>
      </c>
      <c r="J98" s="2" t="s">
        <v>341</v>
      </c>
      <c r="K98" s="2" t="s">
        <v>21</v>
      </c>
      <c r="L98" s="2">
        <v>27292</v>
      </c>
      <c r="M98" s="2" t="s">
        <v>346</v>
      </c>
    </row>
    <row r="99" spans="1:13" ht="63" x14ac:dyDescent="0.25">
      <c r="A99" s="2" t="s">
        <v>336</v>
      </c>
      <c r="B99" s="7"/>
      <c r="C99" s="7"/>
      <c r="D99" s="2" t="s">
        <v>37</v>
      </c>
      <c r="E99" s="2" t="s">
        <v>17</v>
      </c>
      <c r="F99" s="3" t="str">
        <f>HYPERLINK("https://twitter.com/lexdispatch","@lexdispatch")</f>
        <v>@lexdispatch</v>
      </c>
      <c r="G99" s="3" t="str">
        <f>HYPERLINK("mailto:news@the-dispatch.com","news@the-dispatch.com")</f>
        <v>news@the-dispatch.com</v>
      </c>
      <c r="H99" s="2" t="s">
        <v>339</v>
      </c>
      <c r="I99" s="2" t="s">
        <v>340</v>
      </c>
      <c r="J99" s="2" t="s">
        <v>341</v>
      </c>
      <c r="K99" s="2" t="s">
        <v>21</v>
      </c>
      <c r="L99" s="2">
        <v>27292</v>
      </c>
      <c r="M99" s="2" t="s">
        <v>352</v>
      </c>
    </row>
    <row r="100" spans="1:13" ht="63" x14ac:dyDescent="0.25">
      <c r="A100" s="2" t="s">
        <v>336</v>
      </c>
      <c r="B100" s="7"/>
      <c r="C100" s="7"/>
      <c r="D100" s="2" t="s">
        <v>38</v>
      </c>
      <c r="E100" s="2" t="s">
        <v>17</v>
      </c>
      <c r="F100" s="3" t="str">
        <f>HYPERLINK("https://twitter.com/lexdispatch","@lexdispatch")</f>
        <v>@lexdispatch</v>
      </c>
      <c r="G100" s="3" t="str">
        <f>HYPERLINK("mailto:letters@the-dispatch.com","letters@the-dispatch.com")</f>
        <v>letters@the-dispatch.com</v>
      </c>
      <c r="H100" s="2" t="s">
        <v>339</v>
      </c>
      <c r="I100" s="2" t="s">
        <v>340</v>
      </c>
      <c r="J100" s="2" t="s">
        <v>341</v>
      </c>
      <c r="K100" s="2" t="s">
        <v>21</v>
      </c>
      <c r="L100" s="2">
        <v>27292</v>
      </c>
      <c r="M100" s="2" t="s">
        <v>352</v>
      </c>
    </row>
    <row r="101" spans="1:13" ht="63" x14ac:dyDescent="0.25">
      <c r="A101" s="2" t="s">
        <v>353</v>
      </c>
      <c r="B101" s="2" t="s">
        <v>354</v>
      </c>
      <c r="C101" s="2" t="s">
        <v>355</v>
      </c>
      <c r="D101" s="2" t="s">
        <v>16</v>
      </c>
      <c r="E101" s="2" t="s">
        <v>17</v>
      </c>
      <c r="F101" s="3" t="str">
        <f>HYPERLINK("https://twitter.com/sglines2008?lang=en","@sglines2008")</f>
        <v>@sglines2008</v>
      </c>
      <c r="G101" s="2"/>
      <c r="H101" s="7" t="s">
        <v>356</v>
      </c>
      <c r="I101" s="7" t="s">
        <v>357</v>
      </c>
      <c r="J101" s="7" t="s">
        <v>357</v>
      </c>
      <c r="K101" s="7" t="s">
        <v>21</v>
      </c>
      <c r="L101" s="7">
        <v>27705</v>
      </c>
      <c r="M101" s="7"/>
    </row>
    <row r="102" spans="1:13" ht="63" x14ac:dyDescent="0.25">
      <c r="A102" s="2" t="s">
        <v>353</v>
      </c>
      <c r="B102" s="2" t="s">
        <v>358</v>
      </c>
      <c r="C102" s="2" t="s">
        <v>359</v>
      </c>
      <c r="D102" s="2" t="s">
        <v>117</v>
      </c>
      <c r="E102" s="2" t="s">
        <v>17</v>
      </c>
      <c r="F102" s="3" t="str">
        <f>HYPERLINK("https://twitter.com/heraldsuneditor","@HeraldSunEditor")</f>
        <v>@HeraldSunEditor</v>
      </c>
      <c r="G102" s="3" t="str">
        <f>HYPERLINK("mailto:mschultz@heraldsun.com","mschultz@heraldsun.com")</f>
        <v>mschultz@heraldsun.com</v>
      </c>
      <c r="H102" s="2" t="s">
        <v>356</v>
      </c>
      <c r="I102" s="2" t="s">
        <v>357</v>
      </c>
      <c r="J102" s="2" t="s">
        <v>357</v>
      </c>
      <c r="K102" s="2" t="s">
        <v>21</v>
      </c>
      <c r="L102" s="2">
        <v>27705</v>
      </c>
      <c r="M102" s="2" t="s">
        <v>360</v>
      </c>
    </row>
    <row r="103" spans="1:13" ht="63" x14ac:dyDescent="0.25">
      <c r="A103" s="2" t="s">
        <v>353</v>
      </c>
      <c r="B103" s="2" t="s">
        <v>358</v>
      </c>
      <c r="C103" s="2" t="s">
        <v>361</v>
      </c>
      <c r="D103" s="2" t="s">
        <v>362</v>
      </c>
      <c r="E103" s="2" t="s">
        <v>17</v>
      </c>
      <c r="F103" s="5"/>
      <c r="G103" s="3" t="str">
        <f>HYPERLINK("mailto:mdonovan@heraldsun.com","mdonovan@heraldsun.com")</f>
        <v>mdonovan@heraldsun.com</v>
      </c>
      <c r="H103" s="2" t="s">
        <v>356</v>
      </c>
      <c r="I103" s="2" t="s">
        <v>357</v>
      </c>
      <c r="J103" s="2" t="s">
        <v>357</v>
      </c>
      <c r="K103" s="2" t="s">
        <v>21</v>
      </c>
      <c r="L103" s="2">
        <v>27701</v>
      </c>
      <c r="M103" s="2" t="s">
        <v>363</v>
      </c>
    </row>
    <row r="104" spans="1:13" ht="63" x14ac:dyDescent="0.25">
      <c r="A104" s="2" t="s">
        <v>353</v>
      </c>
      <c r="B104" s="2" t="s">
        <v>364</v>
      </c>
      <c r="C104" s="2" t="s">
        <v>365</v>
      </c>
      <c r="D104" s="2" t="s">
        <v>366</v>
      </c>
      <c r="E104" s="2" t="s">
        <v>17</v>
      </c>
      <c r="F104" s="3" t="str">
        <f>HYPERLINK("https://twitter.com/rcgronberg?lang=en","@rcgronberg")</f>
        <v>@rcgronberg</v>
      </c>
      <c r="G104" s="3" t="str">
        <f>HYPERLINK("mailto:rgronberg@heraldsun.com","rgronberg@heraldsun.com")</f>
        <v>rgronberg@heraldsun.com</v>
      </c>
      <c r="H104" s="2" t="s">
        <v>356</v>
      </c>
      <c r="I104" s="2" t="s">
        <v>357</v>
      </c>
      <c r="J104" s="2" t="s">
        <v>357</v>
      </c>
      <c r="K104" s="2" t="s">
        <v>367</v>
      </c>
      <c r="L104" s="2">
        <v>27705</v>
      </c>
      <c r="M104" s="2" t="s">
        <v>368</v>
      </c>
    </row>
    <row r="105" spans="1:13" ht="63" x14ac:dyDescent="0.25">
      <c r="A105" s="2" t="s">
        <v>353</v>
      </c>
      <c r="B105" s="2" t="s">
        <v>369</v>
      </c>
      <c r="C105" s="2" t="s">
        <v>370</v>
      </c>
      <c r="D105" s="2" t="s">
        <v>371</v>
      </c>
      <c r="E105" s="2" t="s">
        <v>17</v>
      </c>
      <c r="F105" s="6" t="str">
        <f>HYPERLINK("https://twitter.com/virginiabridges?lang=en","@virginiabridges")</f>
        <v>@virginiabridges</v>
      </c>
      <c r="G105" s="3" t="str">
        <f>HYPERLINK("mailto:vbridges@heraldsun.com","vbridges@heraldsun.com")</f>
        <v>vbridges@heraldsun.com</v>
      </c>
      <c r="H105" s="2" t="s">
        <v>356</v>
      </c>
      <c r="I105" s="2" t="s">
        <v>357</v>
      </c>
      <c r="J105" s="2" t="s">
        <v>357</v>
      </c>
      <c r="K105" s="2" t="s">
        <v>21</v>
      </c>
      <c r="L105" s="2">
        <v>27705</v>
      </c>
      <c r="M105" s="2" t="s">
        <v>372</v>
      </c>
    </row>
    <row r="106" spans="1:13" ht="63" x14ac:dyDescent="0.25">
      <c r="A106" s="2" t="s">
        <v>353</v>
      </c>
      <c r="B106" s="2" t="s">
        <v>373</v>
      </c>
      <c r="C106" s="2" t="s">
        <v>374</v>
      </c>
      <c r="D106" s="2" t="s">
        <v>375</v>
      </c>
      <c r="E106" s="2" t="s">
        <v>17</v>
      </c>
      <c r="F106" s="6" t="str">
        <f>HYPERLINK("https://twitter.com/cwarrenhicks?lang=en","@CWarrenHicks")</f>
        <v>@CWarrenHicks</v>
      </c>
      <c r="G106" s="3" t="str">
        <f>HYPERLINK("mailto:cwarrenhicks@heraldsun.com","cwarrenhicks@heraldsun.com")</f>
        <v>cwarrenhicks@heraldsun.com</v>
      </c>
      <c r="H106" s="2" t="s">
        <v>356</v>
      </c>
      <c r="I106" s="2" t="s">
        <v>357</v>
      </c>
      <c r="J106" s="2" t="s">
        <v>357</v>
      </c>
      <c r="K106" s="2" t="s">
        <v>21</v>
      </c>
      <c r="L106" s="2">
        <v>27705</v>
      </c>
      <c r="M106" s="2" t="s">
        <v>376</v>
      </c>
    </row>
    <row r="107" spans="1:13" ht="63" x14ac:dyDescent="0.25">
      <c r="A107" s="2" t="s">
        <v>353</v>
      </c>
      <c r="B107" s="2" t="s">
        <v>377</v>
      </c>
      <c r="C107" s="2" t="s">
        <v>378</v>
      </c>
      <c r="D107" s="2" t="s">
        <v>299</v>
      </c>
      <c r="E107" s="2" t="s">
        <v>17</v>
      </c>
      <c r="F107" s="3" t="str">
        <f>HYPERLINK("twitter.com/zeanes","@zeanes")</f>
        <v>@zeanes</v>
      </c>
      <c r="G107" s="3" t="str">
        <f>HYPERLINK("mailto:zeanes@heraldsun.com","zeanes@heraldsun.com")</f>
        <v>zeanes@heraldsun.com</v>
      </c>
      <c r="H107" s="2" t="s">
        <v>356</v>
      </c>
      <c r="I107" s="2" t="s">
        <v>357</v>
      </c>
      <c r="J107" s="2" t="s">
        <v>357</v>
      </c>
      <c r="K107" s="2" t="s">
        <v>21</v>
      </c>
      <c r="L107" s="2">
        <v>27705</v>
      </c>
      <c r="M107" s="2" t="s">
        <v>368</v>
      </c>
    </row>
    <row r="108" spans="1:13" ht="63" x14ac:dyDescent="0.25">
      <c r="A108" s="2" t="s">
        <v>353</v>
      </c>
      <c r="B108" s="2" t="s">
        <v>379</v>
      </c>
      <c r="C108" s="2" t="s">
        <v>380</v>
      </c>
      <c r="D108" s="2" t="s">
        <v>381</v>
      </c>
      <c r="E108" s="2" t="s">
        <v>17</v>
      </c>
      <c r="F108" s="6" t="str">
        <f>HYPERLINK("https://twitter.com/dawnbvaughan","@dawnbvaughan")</f>
        <v>@dawnbvaughan</v>
      </c>
      <c r="G108" s="3" t="str">
        <f>HYPERLINK("mailto:dvaughan@heraldsun.com","dvaughan@heraldsun.com")</f>
        <v>dvaughan@heraldsun.com</v>
      </c>
      <c r="H108" s="2" t="s">
        <v>356</v>
      </c>
      <c r="I108" s="2" t="s">
        <v>357</v>
      </c>
      <c r="J108" s="2" t="s">
        <v>357</v>
      </c>
      <c r="K108" s="2" t="s">
        <v>21</v>
      </c>
      <c r="L108" s="2">
        <v>27705</v>
      </c>
      <c r="M108" s="2" t="s">
        <v>382</v>
      </c>
    </row>
    <row r="109" spans="1:13" ht="63" x14ac:dyDescent="0.25">
      <c r="A109" s="2" t="s">
        <v>353</v>
      </c>
      <c r="B109" s="2" t="s">
        <v>294</v>
      </c>
      <c r="C109" s="2" t="s">
        <v>383</v>
      </c>
      <c r="D109" s="2" t="s">
        <v>384</v>
      </c>
      <c r="E109" s="2" t="s">
        <v>17</v>
      </c>
      <c r="F109" s="3" t="str">
        <f>HYPERLINK("https://twitter.com/gchild6645?ref_src=twsrc%5Egoogle%7Ctwcamp%5Eserp%7Ctwgr%5Eauthor","@gchild6645")</f>
        <v>@gchild6645</v>
      </c>
      <c r="G109" s="3" t="str">
        <f>HYPERLINK("mailto:gchildress@heraldsun.com","gchildress@heraldsun.com")</f>
        <v>gchildress@heraldsun.com</v>
      </c>
      <c r="H109" s="2" t="s">
        <v>356</v>
      </c>
      <c r="I109" s="2" t="s">
        <v>357</v>
      </c>
      <c r="J109" s="2" t="s">
        <v>357</v>
      </c>
      <c r="K109" s="2" t="s">
        <v>21</v>
      </c>
      <c r="L109" s="2">
        <v>27705</v>
      </c>
      <c r="M109" s="2" t="s">
        <v>385</v>
      </c>
    </row>
    <row r="110" spans="1:13" ht="63" x14ac:dyDescent="0.25">
      <c r="A110" s="2" t="s">
        <v>353</v>
      </c>
      <c r="B110" s="7"/>
      <c r="C110" s="7"/>
      <c r="D110" s="2" t="s">
        <v>37</v>
      </c>
      <c r="E110" s="2" t="s">
        <v>17</v>
      </c>
      <c r="F110" s="3" t="str">
        <f>HYPERLINK("https://twitter.com/TheHerald_Sun","@TheHerald_Sun")</f>
        <v>@TheHerald_Sun</v>
      </c>
      <c r="G110" s="3" t="str">
        <f>HYPERLINK("mailto:news@heraldsun.com","news@heraldsun.com")</f>
        <v>news@heraldsun.com</v>
      </c>
      <c r="H110" s="2" t="s">
        <v>356</v>
      </c>
      <c r="I110" s="2" t="s">
        <v>357</v>
      </c>
      <c r="J110" s="2" t="s">
        <v>357</v>
      </c>
      <c r="K110" s="2" t="s">
        <v>367</v>
      </c>
      <c r="L110" s="2">
        <v>27705</v>
      </c>
      <c r="M110" s="2" t="s">
        <v>386</v>
      </c>
    </row>
    <row r="111" spans="1:13" ht="63" x14ac:dyDescent="0.25">
      <c r="A111" s="2" t="s">
        <v>353</v>
      </c>
      <c r="B111" s="7"/>
      <c r="C111" s="7"/>
      <c r="D111" s="2" t="s">
        <v>38</v>
      </c>
      <c r="E111" s="2" t="s">
        <v>17</v>
      </c>
      <c r="F111" s="3" t="str">
        <f>HYPERLINK("https://twitter.com/TheHerald_Sun","@TheHerald_Sun")</f>
        <v>@TheHerald_Sun</v>
      </c>
      <c r="G111" s="3" t="str">
        <f>HYPERLINK("mailto:letters@heraldsun.com","letters@heraldsun.com")</f>
        <v>letters@heraldsun.com</v>
      </c>
      <c r="H111" s="2" t="s">
        <v>356</v>
      </c>
      <c r="I111" s="2" t="s">
        <v>387</v>
      </c>
      <c r="J111" s="2" t="s">
        <v>357</v>
      </c>
      <c r="K111" s="2" t="s">
        <v>21</v>
      </c>
      <c r="L111" s="2">
        <v>27705</v>
      </c>
      <c r="M111" s="2" t="s">
        <v>386</v>
      </c>
    </row>
    <row r="112" spans="1:13" ht="63" x14ac:dyDescent="0.25">
      <c r="A112" s="2" t="s">
        <v>388</v>
      </c>
      <c r="B112" s="2" t="s">
        <v>389</v>
      </c>
      <c r="C112" s="2" t="s">
        <v>390</v>
      </c>
      <c r="D112" s="2" t="s">
        <v>16</v>
      </c>
      <c r="E112" s="2" t="s">
        <v>17</v>
      </c>
      <c r="F112" s="6" t="str">
        <f>HYPERLINK("https://twitter.com/KevinKampmanWSJ","@KevinKampmanWSJ")</f>
        <v>@KevinKampmanWSJ</v>
      </c>
      <c r="G112" s="4" t="str">
        <f>HYPERLINK("mailto:kkampman@wsjournal.com","kkampman@wsjournal.com")</f>
        <v>kkampman@wsjournal.com</v>
      </c>
      <c r="H112" s="2" t="s">
        <v>391</v>
      </c>
      <c r="I112" s="2" t="s">
        <v>392</v>
      </c>
      <c r="J112" s="2" t="s">
        <v>393</v>
      </c>
      <c r="K112" s="2" t="s">
        <v>21</v>
      </c>
      <c r="L112" s="2">
        <v>27893</v>
      </c>
      <c r="M112" s="2" t="s">
        <v>394</v>
      </c>
    </row>
    <row r="113" spans="1:13" ht="63" x14ac:dyDescent="0.25">
      <c r="A113" s="2" t="s">
        <v>388</v>
      </c>
      <c r="B113" s="2" t="s">
        <v>395</v>
      </c>
      <c r="C113" s="2" t="s">
        <v>396</v>
      </c>
      <c r="D113" s="2" t="s">
        <v>117</v>
      </c>
      <c r="E113" s="2" t="s">
        <v>17</v>
      </c>
      <c r="F113" s="5"/>
      <c r="G113" s="3" t="str">
        <f>HYPERLINK("mailto:amorrissey@wsjournal.com","amorrissey@wsjournal.com")</f>
        <v>amorrissey@wsjournal.com</v>
      </c>
      <c r="H113" s="2" t="s">
        <v>391</v>
      </c>
      <c r="I113" s="2" t="s">
        <v>392</v>
      </c>
      <c r="J113" s="2" t="s">
        <v>393</v>
      </c>
      <c r="K113" s="2" t="s">
        <v>21</v>
      </c>
      <c r="L113" s="2">
        <v>27101</v>
      </c>
      <c r="M113" s="2" t="s">
        <v>397</v>
      </c>
    </row>
    <row r="114" spans="1:13" ht="47.25" x14ac:dyDescent="0.25">
      <c r="A114" s="2" t="s">
        <v>388</v>
      </c>
      <c r="B114" s="2" t="s">
        <v>73</v>
      </c>
      <c r="C114" s="2" t="s">
        <v>398</v>
      </c>
      <c r="D114" s="2" t="s">
        <v>270</v>
      </c>
      <c r="E114" s="2" t="s">
        <v>17</v>
      </c>
      <c r="F114" s="2"/>
      <c r="G114" s="3" t="str">
        <f>HYPERLINK("mailto:jrailey@wsjournal.com","jrailey@wsjournal.com")</f>
        <v>jrailey@wsjournal.com</v>
      </c>
      <c r="H114" s="2" t="s">
        <v>391</v>
      </c>
      <c r="I114" s="2" t="s">
        <v>392</v>
      </c>
      <c r="J114" s="2" t="s">
        <v>393</v>
      </c>
      <c r="K114" s="2" t="s">
        <v>21</v>
      </c>
      <c r="L114" s="2">
        <v>27101</v>
      </c>
      <c r="M114" s="2" t="s">
        <v>399</v>
      </c>
    </row>
    <row r="115" spans="1:13" ht="47.25" x14ac:dyDescent="0.25">
      <c r="A115" s="2" t="s">
        <v>388</v>
      </c>
      <c r="B115" s="5" t="s">
        <v>104</v>
      </c>
      <c r="C115" s="2" t="s">
        <v>337</v>
      </c>
      <c r="D115" s="2" t="s">
        <v>400</v>
      </c>
      <c r="E115" s="2" t="s">
        <v>17</v>
      </c>
      <c r="F115" s="2" t="s">
        <v>177</v>
      </c>
      <c r="G115" s="3" t="str">
        <f>HYPERLINK("mailto:mscott@wsjournal.com","mscott@wsjournal.com")</f>
        <v>mscott@wsjournal.com</v>
      </c>
      <c r="H115" s="2" t="s">
        <v>391</v>
      </c>
      <c r="I115" s="2" t="s">
        <v>392</v>
      </c>
      <c r="J115" s="2" t="s">
        <v>393</v>
      </c>
      <c r="K115" s="2" t="s">
        <v>21</v>
      </c>
      <c r="L115" s="2">
        <v>27101</v>
      </c>
      <c r="M115" s="2" t="s">
        <v>401</v>
      </c>
    </row>
    <row r="116" spans="1:13" ht="47.25" x14ac:dyDescent="0.25">
      <c r="A116" s="2" t="s">
        <v>388</v>
      </c>
      <c r="B116" s="2" t="s">
        <v>402</v>
      </c>
      <c r="C116" s="2" t="s">
        <v>403</v>
      </c>
      <c r="D116" s="2" t="s">
        <v>29</v>
      </c>
      <c r="E116" s="2" t="s">
        <v>17</v>
      </c>
      <c r="F116" s="2"/>
      <c r="G116" s="3" t="str">
        <f>HYPERLINK("mailto:dyoung@wsjournal.com","dyoung@wsjournal.com")</f>
        <v>dyoung@wsjournal.com</v>
      </c>
      <c r="H116" s="2" t="s">
        <v>391</v>
      </c>
      <c r="I116" s="2" t="s">
        <v>392</v>
      </c>
      <c r="J116" s="2" t="s">
        <v>393</v>
      </c>
      <c r="K116" s="2" t="s">
        <v>21</v>
      </c>
      <c r="L116" s="2">
        <v>27101</v>
      </c>
      <c r="M116" s="2" t="s">
        <v>404</v>
      </c>
    </row>
    <row r="117" spans="1:13" ht="47.25" x14ac:dyDescent="0.25">
      <c r="A117" s="2" t="s">
        <v>388</v>
      </c>
      <c r="B117" s="2" t="s">
        <v>405</v>
      </c>
      <c r="C117" s="2" t="s">
        <v>403</v>
      </c>
      <c r="D117" s="2" t="s">
        <v>406</v>
      </c>
      <c r="E117" s="2" t="s">
        <v>17</v>
      </c>
      <c r="F117" s="2"/>
      <c r="G117" s="3" t="str">
        <f>HYPERLINK("mailto:jyoung@wsjournal.com","jyoung@wsjournal.com")</f>
        <v>jyoung@wsjournal.com</v>
      </c>
      <c r="H117" s="2" t="s">
        <v>391</v>
      </c>
      <c r="I117" s="2" t="s">
        <v>392</v>
      </c>
      <c r="J117" s="2" t="s">
        <v>393</v>
      </c>
      <c r="K117" s="2" t="s">
        <v>21</v>
      </c>
      <c r="L117" s="2">
        <v>27101</v>
      </c>
      <c r="M117" s="2" t="s">
        <v>407</v>
      </c>
    </row>
    <row r="118" spans="1:13" ht="47.25" x14ac:dyDescent="0.25">
      <c r="A118" s="2" t="s">
        <v>388</v>
      </c>
      <c r="B118" s="2" t="s">
        <v>337</v>
      </c>
      <c r="C118" s="2" t="s">
        <v>408</v>
      </c>
      <c r="D118" s="2" t="s">
        <v>324</v>
      </c>
      <c r="E118" s="2" t="s">
        <v>17</v>
      </c>
      <c r="F118" s="6" t="str">
        <f>HYPERLINK("https://twitter.com/scottsextonwsj","@scottsextonwsj")</f>
        <v>@scottsextonwsj</v>
      </c>
      <c r="G118" s="3" t="str">
        <f>HYPERLINK("mailto:ssexton@wsjournal.com","ssexton@wsjournal.com")</f>
        <v>ssexton@wsjournal.com</v>
      </c>
      <c r="H118" s="2" t="s">
        <v>391</v>
      </c>
      <c r="I118" s="2" t="s">
        <v>392</v>
      </c>
      <c r="J118" s="2" t="s">
        <v>393</v>
      </c>
      <c r="K118" s="2" t="s">
        <v>21</v>
      </c>
      <c r="L118" s="2">
        <v>27101</v>
      </c>
      <c r="M118" s="2" t="s">
        <v>409</v>
      </c>
    </row>
    <row r="119" spans="1:13" ht="47.25" x14ac:dyDescent="0.25">
      <c r="A119" s="2" t="s">
        <v>388</v>
      </c>
      <c r="B119" s="2" t="s">
        <v>410</v>
      </c>
      <c r="C119" s="2" t="s">
        <v>411</v>
      </c>
      <c r="D119" s="2" t="s">
        <v>299</v>
      </c>
      <c r="E119" s="2" t="s">
        <v>17</v>
      </c>
      <c r="F119" s="3" t="str">
        <f>HYPERLINK("https://twitter.com/fdanielWSJ","@fdanielWSJ")</f>
        <v>@fdanielWSJ</v>
      </c>
      <c r="G119" s="3" t="str">
        <f>HYPERLINK("mailto:fdaniel@wsjournal.com","fdaniel@wsjournal.com")</f>
        <v>fdaniel@wsjournal.com</v>
      </c>
      <c r="H119" s="2" t="s">
        <v>391</v>
      </c>
      <c r="I119" s="2" t="s">
        <v>392</v>
      </c>
      <c r="J119" s="2" t="s">
        <v>393</v>
      </c>
      <c r="K119" s="2" t="s">
        <v>21</v>
      </c>
      <c r="L119" s="2">
        <v>27101</v>
      </c>
      <c r="M119" s="2" t="s">
        <v>412</v>
      </c>
    </row>
    <row r="120" spans="1:13" ht="47.25" x14ac:dyDescent="0.25">
      <c r="A120" s="2" t="s">
        <v>388</v>
      </c>
      <c r="B120" s="2" t="s">
        <v>413</v>
      </c>
      <c r="C120" s="2" t="s">
        <v>414</v>
      </c>
      <c r="D120" s="2" t="s">
        <v>299</v>
      </c>
      <c r="E120" s="2" t="s">
        <v>17</v>
      </c>
      <c r="F120" s="3" t="str">
        <f>HYPERLINK("https://twitter.com/rcraverWSJ","@rcraverWSJ")</f>
        <v>@rcraverWSJ</v>
      </c>
      <c r="G120" s="3" t="str">
        <f>HYPERLINK("mailto:rcraver@wsjournal.com","rcraver@wsjournal.com")</f>
        <v>rcraver@wsjournal.com</v>
      </c>
      <c r="H120" s="2" t="s">
        <v>391</v>
      </c>
      <c r="I120" s="2" t="s">
        <v>392</v>
      </c>
      <c r="J120" s="2" t="s">
        <v>393</v>
      </c>
      <c r="K120" s="2" t="s">
        <v>21</v>
      </c>
      <c r="L120" s="2">
        <v>27101</v>
      </c>
      <c r="M120" s="2" t="s">
        <v>415</v>
      </c>
    </row>
    <row r="121" spans="1:13" ht="47.25" x14ac:dyDescent="0.25">
      <c r="A121" s="2" t="s">
        <v>388</v>
      </c>
      <c r="B121" s="2" t="s">
        <v>104</v>
      </c>
      <c r="C121" s="2" t="s">
        <v>416</v>
      </c>
      <c r="D121" s="2" t="s">
        <v>417</v>
      </c>
      <c r="E121" s="2" t="s">
        <v>17</v>
      </c>
      <c r="F121" s="3" t="str">
        <f>HYPERLINK("https://twitter.com/mhewlettWSJ","@mhewlettWSJ")</f>
        <v>@mhewlettWSJ</v>
      </c>
      <c r="G121" s="3" t="str">
        <f>HYPERLINK("mailto:mhewlett@wsjournal.com","mhewlett@wsjournal.com")</f>
        <v>mhewlett@wsjournal.com</v>
      </c>
      <c r="H121" s="2" t="s">
        <v>391</v>
      </c>
      <c r="I121" s="2" t="s">
        <v>392</v>
      </c>
      <c r="J121" s="2" t="s">
        <v>393</v>
      </c>
      <c r="K121" s="2" t="s">
        <v>21</v>
      </c>
      <c r="L121" s="2">
        <v>27101</v>
      </c>
      <c r="M121" s="2" t="s">
        <v>418</v>
      </c>
    </row>
    <row r="122" spans="1:13" ht="47.25" x14ac:dyDescent="0.25">
      <c r="A122" s="2" t="s">
        <v>388</v>
      </c>
      <c r="B122" s="2" t="s">
        <v>73</v>
      </c>
      <c r="C122" s="2" t="s">
        <v>419</v>
      </c>
      <c r="D122" s="2" t="s">
        <v>33</v>
      </c>
      <c r="E122" s="2" t="s">
        <v>17</v>
      </c>
      <c r="F122" s="6" t="str">
        <f>HYPERLINK("https://twitter.com/jhintonWSJ","@jhintonWSJ")</f>
        <v>@jhintonWSJ</v>
      </c>
      <c r="G122" s="3" t="str">
        <f>HYPERLINK("mailto:jhinton@wsjournal.com","jhinton@wsjournal.com")</f>
        <v>jhinton@wsjournal.com</v>
      </c>
      <c r="H122" s="2" t="s">
        <v>391</v>
      </c>
      <c r="I122" s="2" t="s">
        <v>392</v>
      </c>
      <c r="J122" s="2" t="s">
        <v>393</v>
      </c>
      <c r="K122" s="2" t="s">
        <v>21</v>
      </c>
      <c r="L122" s="2">
        <v>27101</v>
      </c>
      <c r="M122" s="2" t="s">
        <v>420</v>
      </c>
    </row>
    <row r="123" spans="1:13" ht="63" x14ac:dyDescent="0.25">
      <c r="A123" s="2" t="s">
        <v>388</v>
      </c>
      <c r="B123" s="2" t="s">
        <v>421</v>
      </c>
      <c r="C123" s="2" t="s">
        <v>403</v>
      </c>
      <c r="D123" s="2" t="s">
        <v>422</v>
      </c>
      <c r="E123" s="2" t="s">
        <v>17</v>
      </c>
      <c r="F123" s="3" t="str">
        <f>HYPERLINK("https://twitter.com/wyoungWSJ","@wyoungWSJ")</f>
        <v>@wyoungWSJ</v>
      </c>
      <c r="G123" s="3" t="str">
        <f>HYPERLINK("mailto:wyoung@wsjournal.com ","wyoung@wsjournal.com ")</f>
        <v xml:space="preserve">wyoung@wsjournal.com </v>
      </c>
      <c r="H123" s="2" t="s">
        <v>391</v>
      </c>
      <c r="I123" s="2" t="s">
        <v>392</v>
      </c>
      <c r="J123" s="2" t="s">
        <v>393</v>
      </c>
      <c r="K123" s="2" t="s">
        <v>21</v>
      </c>
      <c r="L123" s="2">
        <v>27101</v>
      </c>
      <c r="M123" s="2" t="s">
        <v>423</v>
      </c>
    </row>
    <row r="124" spans="1:13" ht="47.25" x14ac:dyDescent="0.25">
      <c r="A124" s="2" t="s">
        <v>388</v>
      </c>
      <c r="B124" s="5" t="s">
        <v>125</v>
      </c>
      <c r="C124" s="2" t="s">
        <v>424</v>
      </c>
      <c r="D124" s="2" t="s">
        <v>425</v>
      </c>
      <c r="E124" s="2" t="s">
        <v>17</v>
      </c>
      <c r="F124" s="2"/>
      <c r="G124" s="3" t="str">
        <f>HYPERLINK("mailto:lshu@wsjournal.com","lshu@wsjournal.com")</f>
        <v>lshu@wsjournal.com</v>
      </c>
      <c r="H124" s="2" t="s">
        <v>391</v>
      </c>
      <c r="I124" s="2" t="s">
        <v>392</v>
      </c>
      <c r="J124" s="2" t="s">
        <v>393</v>
      </c>
      <c r="K124" s="2" t="s">
        <v>21</v>
      </c>
      <c r="L124" s="2">
        <v>27101</v>
      </c>
      <c r="M124" s="2" t="s">
        <v>426</v>
      </c>
    </row>
    <row r="125" spans="1:13" ht="110.25" x14ac:dyDescent="0.25">
      <c r="A125" s="2" t="s">
        <v>388</v>
      </c>
      <c r="B125" s="5" t="s">
        <v>427</v>
      </c>
      <c r="C125" s="2" t="s">
        <v>428</v>
      </c>
      <c r="D125" s="2" t="s">
        <v>429</v>
      </c>
      <c r="E125" s="2" t="s">
        <v>17</v>
      </c>
      <c r="F125" s="3" t="str">
        <f>HYPERLINK("https://twitter.com/gutierrez_WSJ","@gutierrez_WSJ")</f>
        <v>@gutierrez_WSJ</v>
      </c>
      <c r="G125" s="3" t="str">
        <f>HYPERLINK("mailto:bgutierrez@wsjournal.com","bgutierrez@wsjournal.com")</f>
        <v>bgutierrez@wsjournal.com</v>
      </c>
      <c r="H125" s="2" t="s">
        <v>391</v>
      </c>
      <c r="I125" s="2" t="s">
        <v>392</v>
      </c>
      <c r="J125" s="2" t="s">
        <v>393</v>
      </c>
      <c r="K125" s="2" t="s">
        <v>21</v>
      </c>
      <c r="L125" s="2">
        <v>27101</v>
      </c>
      <c r="M125" s="2" t="s">
        <v>430</v>
      </c>
    </row>
    <row r="126" spans="1:13" ht="47.25" x14ac:dyDescent="0.25">
      <c r="A126" s="2" t="s">
        <v>388</v>
      </c>
      <c r="B126" s="7"/>
      <c r="C126" s="7"/>
      <c r="D126" s="2" t="s">
        <v>38</v>
      </c>
      <c r="E126" s="2" t="s">
        <v>17</v>
      </c>
      <c r="F126" s="3" t="str">
        <f>HYPERLINK("https://twitter.com/JournalNow","@JournalNow")</f>
        <v>@JournalNow</v>
      </c>
      <c r="G126" s="3" t="str">
        <f>HYPERLINK("mailto:letters@wsjournal.com","letters@wsjournal.com")</f>
        <v>letters@wsjournal.com</v>
      </c>
      <c r="H126" s="2" t="s">
        <v>391</v>
      </c>
      <c r="I126" s="2" t="s">
        <v>392</v>
      </c>
      <c r="J126" s="2" t="s">
        <v>393</v>
      </c>
      <c r="K126" s="2" t="s">
        <v>21</v>
      </c>
      <c r="L126" s="2">
        <v>27101</v>
      </c>
      <c r="M126" s="2" t="s">
        <v>431</v>
      </c>
    </row>
    <row r="127" spans="1:13" ht="47.25" x14ac:dyDescent="0.25">
      <c r="A127" s="2" t="s">
        <v>388</v>
      </c>
      <c r="B127" s="7"/>
      <c r="C127" s="7"/>
      <c r="D127" s="2" t="s">
        <v>37</v>
      </c>
      <c r="E127" s="2" t="s">
        <v>17</v>
      </c>
      <c r="F127" s="3" t="str">
        <f>HYPERLINK("https://twitter.com/JournalNow","@JournalNow")</f>
        <v>@JournalNow</v>
      </c>
      <c r="G127" s="3" t="str">
        <f>HYPERLINK("mailto:news@wsjournal.com","news@wsjournal.com")</f>
        <v>news@wsjournal.com</v>
      </c>
      <c r="H127" s="2" t="s">
        <v>391</v>
      </c>
      <c r="I127" s="2" t="s">
        <v>392</v>
      </c>
      <c r="J127" s="2" t="s">
        <v>393</v>
      </c>
      <c r="K127" s="2" t="s">
        <v>21</v>
      </c>
      <c r="L127" s="2">
        <v>27101</v>
      </c>
      <c r="M127" s="2" t="s">
        <v>431</v>
      </c>
    </row>
    <row r="128" spans="1:13" ht="63" x14ac:dyDescent="0.25">
      <c r="A128" s="2" t="s">
        <v>432</v>
      </c>
      <c r="B128" s="2" t="s">
        <v>209</v>
      </c>
      <c r="C128" s="2" t="s">
        <v>210</v>
      </c>
      <c r="D128" s="2" t="s">
        <v>16</v>
      </c>
      <c r="E128" s="2" t="s">
        <v>17</v>
      </c>
      <c r="F128" s="3" t="str">
        <f>HYPERLINK("https://twitter.com/talleylc","@talleylc")</f>
        <v>@talleylc</v>
      </c>
      <c r="G128" s="3" t="str">
        <f>HYPERLINK("mailto:ltalley@gastongazette.com","ltalley@gastongazette.com")</f>
        <v>ltalley@gastongazette.com</v>
      </c>
      <c r="H128" s="2" t="s">
        <v>433</v>
      </c>
      <c r="I128" s="2" t="s">
        <v>434</v>
      </c>
      <c r="J128" s="2" t="s">
        <v>435</v>
      </c>
      <c r="K128" s="2" t="s">
        <v>21</v>
      </c>
      <c r="L128" s="2">
        <v>28054</v>
      </c>
      <c r="M128" s="2" t="s">
        <v>214</v>
      </c>
    </row>
    <row r="129" spans="1:13" ht="47.25" x14ac:dyDescent="0.25">
      <c r="A129" s="2" t="s">
        <v>432</v>
      </c>
      <c r="B129" s="2" t="s">
        <v>389</v>
      </c>
      <c r="C129" s="2" t="s">
        <v>436</v>
      </c>
      <c r="D129" s="2" t="s">
        <v>117</v>
      </c>
      <c r="E129" s="2" t="s">
        <v>17</v>
      </c>
      <c r="F129" s="3"/>
      <c r="G129" s="3" t="str">
        <f>HYPERLINK("mailto:kellis@gastongazette.com","kellis@gastongazette.com")</f>
        <v>kellis@gastongazette.com</v>
      </c>
      <c r="H129" s="2" t="s">
        <v>433</v>
      </c>
      <c r="I129" s="2" t="s">
        <v>434</v>
      </c>
      <c r="J129" s="2" t="s">
        <v>435</v>
      </c>
      <c r="K129" s="2" t="s">
        <v>21</v>
      </c>
      <c r="L129" s="2">
        <v>28054</v>
      </c>
      <c r="M129" s="2" t="s">
        <v>437</v>
      </c>
    </row>
    <row r="130" spans="1:13" ht="63" x14ac:dyDescent="0.25">
      <c r="A130" s="2" t="s">
        <v>432</v>
      </c>
      <c r="B130" s="2" t="s">
        <v>104</v>
      </c>
      <c r="C130" s="2" t="s">
        <v>438</v>
      </c>
      <c r="D130" s="2" t="s">
        <v>439</v>
      </c>
      <c r="E130" s="2" t="s">
        <v>17</v>
      </c>
      <c r="F130" s="3" t="str">
        <f>HYPERLINK("https://twitter.com/mbanksgazette","@MBanksGazette")</f>
        <v>@MBanksGazette</v>
      </c>
      <c r="G130" s="3" t="str">
        <f>HYPERLINK("mailto:mbanks@gastongazette.com","mbanks@gastongazette.com")</f>
        <v>mbanks@gastongazette.com</v>
      </c>
      <c r="H130" s="2" t="s">
        <v>433</v>
      </c>
      <c r="I130" s="2" t="s">
        <v>434</v>
      </c>
      <c r="J130" s="2" t="s">
        <v>435</v>
      </c>
      <c r="K130" s="2" t="s">
        <v>21</v>
      </c>
      <c r="L130" s="2">
        <v>28054</v>
      </c>
      <c r="M130" s="2" t="s">
        <v>437</v>
      </c>
    </row>
    <row r="131" spans="1:13" ht="110.25" x14ac:dyDescent="0.25">
      <c r="A131" s="2" t="s">
        <v>432</v>
      </c>
      <c r="B131" s="2" t="s">
        <v>104</v>
      </c>
      <c r="C131" s="2" t="s">
        <v>68</v>
      </c>
      <c r="D131" s="2" t="s">
        <v>440</v>
      </c>
      <c r="E131" s="2" t="s">
        <v>17</v>
      </c>
      <c r="F131" s="3" t="str">
        <f>HYPERLINK("https://twitter.com/GazetteMike","@GazetteMike")</f>
        <v>@GazetteMike</v>
      </c>
      <c r="G131" s="3" t="str">
        <f>HYPERLINK("mailto:mbarrett@gastongazette.com","mbarrett@gastongazette.com")</f>
        <v>mbarrett@gastongazette.com</v>
      </c>
      <c r="H131" s="2" t="s">
        <v>433</v>
      </c>
      <c r="I131" s="2" t="s">
        <v>434</v>
      </c>
      <c r="J131" s="2" t="s">
        <v>435</v>
      </c>
      <c r="K131" s="2" t="s">
        <v>21</v>
      </c>
      <c r="L131" s="2">
        <v>28054</v>
      </c>
      <c r="M131" s="2" t="s">
        <v>441</v>
      </c>
    </row>
    <row r="132" spans="1:13" ht="63" x14ac:dyDescent="0.25">
      <c r="A132" s="2" t="s">
        <v>432</v>
      </c>
      <c r="B132" s="2" t="s">
        <v>215</v>
      </c>
      <c r="C132" s="2" t="s">
        <v>216</v>
      </c>
      <c r="D132" s="2" t="s">
        <v>33</v>
      </c>
      <c r="E132" s="2" t="s">
        <v>17</v>
      </c>
      <c r="F132" s="3" t="str">
        <f>HYPERLINK("https://twitter.com/ShelbyStarDiane","@GazetteDiane")</f>
        <v>@GazetteDiane</v>
      </c>
      <c r="G132" s="3" t="str">
        <f>HYPERLINK("mailto:dturbyfill@gastongazette.com","dturbyfill@gastongazette.com")</f>
        <v>dturbyfill@gastongazette.com</v>
      </c>
      <c r="H132" s="2" t="s">
        <v>433</v>
      </c>
      <c r="I132" s="2" t="s">
        <v>434</v>
      </c>
      <c r="J132" s="2" t="s">
        <v>435</v>
      </c>
      <c r="K132" s="2" t="s">
        <v>21</v>
      </c>
      <c r="L132" s="2">
        <v>28054</v>
      </c>
      <c r="M132" s="2" t="s">
        <v>218</v>
      </c>
    </row>
    <row r="133" spans="1:13" ht="63" x14ac:dyDescent="0.25">
      <c r="A133" s="2" t="s">
        <v>432</v>
      </c>
      <c r="B133" s="2" t="s">
        <v>442</v>
      </c>
      <c r="C133" s="2" t="s">
        <v>443</v>
      </c>
      <c r="D133" s="2" t="s">
        <v>444</v>
      </c>
      <c r="E133" s="2" t="s">
        <v>17</v>
      </c>
      <c r="F133" s="3" t="str">
        <f>HYPERLINK("https://twitter.com/GazetteLawson","@GazetteLawson")</f>
        <v>@GazetteLawson</v>
      </c>
      <c r="G133" s="3" t="str">
        <f>HYPERLINK("mailto:alawson@gastongazette.com","alawson@gastongazette.com")</f>
        <v>alawson@gastongazette.com</v>
      </c>
      <c r="H133" s="2" t="s">
        <v>433</v>
      </c>
      <c r="I133" s="2" t="s">
        <v>434</v>
      </c>
      <c r="J133" s="2" t="s">
        <v>435</v>
      </c>
      <c r="K133" s="2" t="s">
        <v>21</v>
      </c>
      <c r="L133" s="2">
        <v>28054</v>
      </c>
      <c r="M133" s="2" t="s">
        <v>437</v>
      </c>
    </row>
    <row r="134" spans="1:13" ht="63" x14ac:dyDescent="0.25">
      <c r="A134" s="2" t="s">
        <v>432</v>
      </c>
      <c r="B134" s="7"/>
      <c r="C134" s="7"/>
      <c r="D134" s="2" t="s">
        <v>37</v>
      </c>
      <c r="E134" s="2" t="s">
        <v>17</v>
      </c>
      <c r="F134" s="3" t="str">
        <f>HYPERLINK("https://twitter.com/gastongazette","@gastongazette")</f>
        <v>@gastongazette</v>
      </c>
      <c r="G134" s="3" t="str">
        <f>HYPERLINK("mailto:gastongazette@gastongazette.com","gastongazette@gastongazette.com")</f>
        <v>gastongazette@gastongazette.com</v>
      </c>
      <c r="H134" s="2" t="s">
        <v>433</v>
      </c>
      <c r="I134" s="2" t="s">
        <v>434</v>
      </c>
      <c r="J134" s="2" t="s">
        <v>435</v>
      </c>
      <c r="K134" s="2" t="s">
        <v>21</v>
      </c>
      <c r="L134" s="2">
        <v>28054</v>
      </c>
      <c r="M134" s="2" t="s">
        <v>437</v>
      </c>
    </row>
    <row r="135" spans="1:13" ht="63" x14ac:dyDescent="0.25">
      <c r="A135" s="2" t="s">
        <v>432</v>
      </c>
      <c r="B135" s="7"/>
      <c r="C135" s="7"/>
      <c r="D135" s="2" t="s">
        <v>38</v>
      </c>
      <c r="E135" s="2" t="s">
        <v>17</v>
      </c>
      <c r="F135" s="3" t="str">
        <f>HYPERLINK("https://twitter.com/gastongazette","@gastongazette")</f>
        <v>@gastongazette</v>
      </c>
      <c r="G135" s="3" t="str">
        <f>HYPERLINK("mailto:gastongazette@gastongazette.com","gastongazette@gastongazette.com")</f>
        <v>gastongazette@gastongazette.com</v>
      </c>
      <c r="H135" s="2" t="s">
        <v>433</v>
      </c>
      <c r="I135" s="2" t="s">
        <v>434</v>
      </c>
      <c r="J135" s="2" t="s">
        <v>435</v>
      </c>
      <c r="K135" s="2" t="s">
        <v>21</v>
      </c>
      <c r="L135" s="2">
        <v>28054</v>
      </c>
      <c r="M135" s="2" t="s">
        <v>437</v>
      </c>
    </row>
    <row r="136" spans="1:13" ht="63" x14ac:dyDescent="0.25">
      <c r="A136" s="2" t="s">
        <v>445</v>
      </c>
      <c r="B136" s="2" t="s">
        <v>446</v>
      </c>
      <c r="C136" s="2" t="s">
        <v>447</v>
      </c>
      <c r="D136" s="2" t="s">
        <v>16</v>
      </c>
      <c r="E136" s="2" t="s">
        <v>17</v>
      </c>
      <c r="F136" s="5"/>
      <c r="G136" s="3" t="str">
        <f>HYPERLINK("mailto:rbean@hpenews.com","rbean@hpenews.com")</f>
        <v>rbean@hpenews.com</v>
      </c>
      <c r="H136" s="2" t="s">
        <v>448</v>
      </c>
      <c r="I136" s="2" t="s">
        <v>449</v>
      </c>
      <c r="J136" s="2" t="s">
        <v>450</v>
      </c>
      <c r="K136" s="2" t="s">
        <v>21</v>
      </c>
      <c r="L136" s="2">
        <v>27262</v>
      </c>
      <c r="M136" s="2" t="s">
        <v>451</v>
      </c>
    </row>
    <row r="137" spans="1:13" ht="63" x14ac:dyDescent="0.25">
      <c r="A137" s="2" t="s">
        <v>445</v>
      </c>
      <c r="B137" s="2" t="s">
        <v>452</v>
      </c>
      <c r="C137" s="2" t="s">
        <v>453</v>
      </c>
      <c r="D137" s="2" t="s">
        <v>25</v>
      </c>
      <c r="E137" s="2" t="s">
        <v>17</v>
      </c>
      <c r="F137" s="3" t="str">
        <f>HYPERLINK("https://twitter.com/hpemegan?lang=en","@HPEmegan")</f>
        <v>@HPEmegan</v>
      </c>
      <c r="G137" s="3" t="str">
        <f>HYPERLINK("mailto:mward@hpenews.com","mward@hpenews.com")</f>
        <v>mward@hpenews.com</v>
      </c>
      <c r="H137" s="2" t="s">
        <v>448</v>
      </c>
      <c r="I137" s="2" t="s">
        <v>449</v>
      </c>
      <c r="J137" s="2" t="s">
        <v>450</v>
      </c>
      <c r="K137" s="2" t="s">
        <v>21</v>
      </c>
      <c r="L137" s="2">
        <v>27262</v>
      </c>
      <c r="M137" s="2" t="s">
        <v>454</v>
      </c>
    </row>
    <row r="138" spans="1:13" ht="63" x14ac:dyDescent="0.25">
      <c r="A138" s="2" t="s">
        <v>445</v>
      </c>
      <c r="B138" s="2" t="s">
        <v>455</v>
      </c>
      <c r="C138" s="2" t="s">
        <v>456</v>
      </c>
      <c r="D138" s="2" t="s">
        <v>65</v>
      </c>
      <c r="E138" s="2" t="s">
        <v>17</v>
      </c>
      <c r="F138" s="3" t="str">
        <f>HYPERLINK("https://twitter.com/HPEvince","@HPEvince")</f>
        <v>@HPEvince</v>
      </c>
      <c r="G138" s="3" t="str">
        <f>HYPERLINK("mailto:vwheeler@hpenews.com","vwheeler@hpenews.com")</f>
        <v>vwheeler@hpenews.com</v>
      </c>
      <c r="H138" s="2" t="s">
        <v>448</v>
      </c>
      <c r="I138" s="2" t="s">
        <v>449</v>
      </c>
      <c r="J138" s="2" t="s">
        <v>450</v>
      </c>
      <c r="K138" s="2" t="s">
        <v>21</v>
      </c>
      <c r="L138" s="2">
        <v>27262</v>
      </c>
      <c r="M138" s="2" t="s">
        <v>457</v>
      </c>
    </row>
    <row r="139" spans="1:13" ht="63" x14ac:dyDescent="0.25">
      <c r="A139" s="2" t="s">
        <v>445</v>
      </c>
      <c r="B139" s="2" t="s">
        <v>458</v>
      </c>
      <c r="C139" s="2" t="s">
        <v>459</v>
      </c>
      <c r="D139" s="2" t="s">
        <v>29</v>
      </c>
      <c r="E139" s="2" t="s">
        <v>17</v>
      </c>
      <c r="F139" s="3" t="str">
        <f>HYPERLINK("https://twitter.com/HPEjoe","@HPEjoe")</f>
        <v>@HPEjoe</v>
      </c>
      <c r="G139" s="3" t="str">
        <f>HYPERLINK("mailto:jfeeney@hpenews.com","jfeeney@hpenews.com")</f>
        <v>jfeeney@hpenews.com</v>
      </c>
      <c r="H139" s="2" t="s">
        <v>448</v>
      </c>
      <c r="I139" s="2" t="s">
        <v>449</v>
      </c>
      <c r="J139" s="2" t="s">
        <v>450</v>
      </c>
      <c r="K139" s="2" t="s">
        <v>21</v>
      </c>
      <c r="L139" s="2">
        <v>27262</v>
      </c>
      <c r="M139" s="2" t="s">
        <v>460</v>
      </c>
    </row>
    <row r="140" spans="1:13" ht="63" x14ac:dyDescent="0.25">
      <c r="A140" s="2" t="s">
        <v>445</v>
      </c>
      <c r="B140" s="2" t="s">
        <v>14</v>
      </c>
      <c r="C140" s="2" t="s">
        <v>461</v>
      </c>
      <c r="D140" s="2" t="s">
        <v>462</v>
      </c>
      <c r="E140" s="2" t="s">
        <v>17</v>
      </c>
      <c r="F140" s="3" t="str">
        <f>HYPERLINK("https://twitter.com/hpepaul","@HPEpaul")</f>
        <v>@HPEpaul</v>
      </c>
      <c r="G140" s="3" t="str">
        <f>HYPERLINK("mailto:pjohnson@hprnews.com","pjohnson@hprnews.com")</f>
        <v>pjohnson@hprnews.com</v>
      </c>
      <c r="H140" s="2" t="s">
        <v>448</v>
      </c>
      <c r="I140" s="2" t="s">
        <v>449</v>
      </c>
      <c r="J140" s="2" t="s">
        <v>450</v>
      </c>
      <c r="K140" s="2" t="s">
        <v>21</v>
      </c>
      <c r="L140" s="2">
        <v>27262</v>
      </c>
      <c r="M140" s="2" t="s">
        <v>463</v>
      </c>
    </row>
    <row r="141" spans="1:13" ht="63" x14ac:dyDescent="0.25">
      <c r="A141" s="2" t="s">
        <v>445</v>
      </c>
      <c r="B141" s="2" t="s">
        <v>464</v>
      </c>
      <c r="C141" s="2" t="s">
        <v>465</v>
      </c>
      <c r="D141" s="2" t="s">
        <v>466</v>
      </c>
      <c r="E141" s="2" t="s">
        <v>17</v>
      </c>
      <c r="F141" s="3" t="str">
        <f>HYPERLINK("https://twitter.com/HPEpat","@HPEpat")</f>
        <v>@HPEpat</v>
      </c>
      <c r="G141" s="3" t="str">
        <f>HYPERLINK("mailto:pkimbrough@hpenews.com","pkimbrough@hpenews.com")</f>
        <v>pkimbrough@hpenews.com</v>
      </c>
      <c r="H141" s="2" t="s">
        <v>448</v>
      </c>
      <c r="I141" s="2" t="s">
        <v>449</v>
      </c>
      <c r="J141" s="2" t="s">
        <v>450</v>
      </c>
      <c r="K141" s="2" t="s">
        <v>21</v>
      </c>
      <c r="L141" s="2">
        <v>27262</v>
      </c>
      <c r="M141" s="2" t="s">
        <v>467</v>
      </c>
    </row>
    <row r="142" spans="1:13" ht="63" x14ac:dyDescent="0.25">
      <c r="A142" s="2" t="s">
        <v>445</v>
      </c>
      <c r="B142" s="2" t="s">
        <v>468</v>
      </c>
      <c r="C142" s="2" t="s">
        <v>469</v>
      </c>
      <c r="D142" s="2" t="s">
        <v>470</v>
      </c>
      <c r="E142" s="2" t="s">
        <v>17</v>
      </c>
      <c r="F142" s="3" t="str">
        <f>HYPERLINK("https://twitter.com/HPEStephanie","@HPEStephanie")</f>
        <v>@HPEStephanie</v>
      </c>
      <c r="G142" s="3" t="str">
        <f>HYPERLINK("mailto:sbutzer@hpenews.com","sbutzer@hpenews.com")</f>
        <v>sbutzer@hpenews.com</v>
      </c>
      <c r="H142" s="2" t="s">
        <v>448</v>
      </c>
      <c r="I142" s="2" t="s">
        <v>449</v>
      </c>
      <c r="J142" s="2" t="s">
        <v>450</v>
      </c>
      <c r="K142" s="2" t="s">
        <v>21</v>
      </c>
      <c r="L142" s="2">
        <v>27262</v>
      </c>
      <c r="M142" s="2" t="s">
        <v>471</v>
      </c>
    </row>
    <row r="143" spans="1:13" ht="63" x14ac:dyDescent="0.25">
      <c r="A143" s="2" t="s">
        <v>445</v>
      </c>
      <c r="B143" s="2" t="s">
        <v>472</v>
      </c>
      <c r="C143" s="2" t="s">
        <v>473</v>
      </c>
      <c r="D143" s="2" t="s">
        <v>470</v>
      </c>
      <c r="E143" s="2" t="s">
        <v>17</v>
      </c>
      <c r="F143" s="3" t="str">
        <f>HYPERLINK("https://twitter.com/HPEjimmy","@HPEjimmy")</f>
        <v>@HPEjimmy</v>
      </c>
      <c r="G143" s="3" t="str">
        <f>HYPERLINK("mailto:jtomlin@hpenews.com","jtomlin@hpenews.com")</f>
        <v>jtomlin@hpenews.com</v>
      </c>
      <c r="H143" s="2" t="s">
        <v>448</v>
      </c>
      <c r="I143" s="2" t="s">
        <v>449</v>
      </c>
      <c r="J143" s="2" t="s">
        <v>450</v>
      </c>
      <c r="K143" s="2" t="s">
        <v>21</v>
      </c>
      <c r="L143" s="2">
        <v>27262</v>
      </c>
      <c r="M143" s="2" t="s">
        <v>471</v>
      </c>
    </row>
    <row r="144" spans="1:13" ht="63" x14ac:dyDescent="0.25">
      <c r="A144" s="2" t="s">
        <v>445</v>
      </c>
      <c r="B144" s="7"/>
      <c r="C144" s="7"/>
      <c r="D144" s="2" t="s">
        <v>37</v>
      </c>
      <c r="E144" s="2" t="s">
        <v>17</v>
      </c>
      <c r="F144" s="3" t="str">
        <f>HYPERLINK("https://twitter.com/HPEnterprise","@HPEnterprise")</f>
        <v>@HPEnterprise</v>
      </c>
      <c r="G144" s="3" t="str">
        <f>HYPERLINK("mailto:editor@hpenews.com","editor@hpenews.com")</f>
        <v>editor@hpenews.com</v>
      </c>
      <c r="H144" s="2" t="s">
        <v>448</v>
      </c>
      <c r="I144" s="2" t="s">
        <v>449</v>
      </c>
      <c r="J144" s="2" t="s">
        <v>450</v>
      </c>
      <c r="K144" s="2" t="s">
        <v>21</v>
      </c>
      <c r="L144" s="2">
        <v>27262</v>
      </c>
      <c r="M144" s="2" t="s">
        <v>454</v>
      </c>
    </row>
    <row r="145" spans="1:13" ht="63" x14ac:dyDescent="0.25">
      <c r="A145" s="2" t="s">
        <v>445</v>
      </c>
      <c r="B145" s="7"/>
      <c r="C145" s="7"/>
      <c r="D145" s="2" t="s">
        <v>38</v>
      </c>
      <c r="E145" s="2" t="s">
        <v>17</v>
      </c>
      <c r="F145" s="3" t="str">
        <f>HYPERLINK("https://twitter.com/HPEnterprise","@HPEnterprise")</f>
        <v>@HPEnterprise</v>
      </c>
      <c r="G145" s="3" t="str">
        <f>HYPERLINK("mailto:letterbox@hpenews.com","letterbox@hpenews.com")</f>
        <v>letterbox@hpenews.com</v>
      </c>
      <c r="H145" s="2" t="s">
        <v>448</v>
      </c>
      <c r="I145" s="2" t="s">
        <v>449</v>
      </c>
      <c r="J145" s="2" t="s">
        <v>450</v>
      </c>
      <c r="K145" s="2" t="s">
        <v>21</v>
      </c>
      <c r="L145" s="2">
        <v>27262</v>
      </c>
      <c r="M145" s="2" t="s">
        <v>454</v>
      </c>
    </row>
    <row r="146" spans="1:13" ht="31.5" x14ac:dyDescent="0.25">
      <c r="A146" s="2" t="s">
        <v>474</v>
      </c>
      <c r="B146" s="7" t="s">
        <v>475</v>
      </c>
      <c r="C146" s="7" t="s">
        <v>476</v>
      </c>
      <c r="D146" s="2" t="s">
        <v>205</v>
      </c>
      <c r="E146" s="2" t="s">
        <v>17</v>
      </c>
      <c r="F146" s="3"/>
      <c r="G146" s="6" t="str">
        <f>HYPERLINK("mailto:daniel.finnegan@greensboro.com","daniel.finnegan@greensboro.com")</f>
        <v>daniel.finnegan@greensboro.com</v>
      </c>
      <c r="H146" s="2" t="s">
        <v>477</v>
      </c>
      <c r="I146" s="2" t="s">
        <v>478</v>
      </c>
      <c r="J146" s="2" t="s">
        <v>450</v>
      </c>
      <c r="K146" s="2" t="s">
        <v>21</v>
      </c>
      <c r="L146" s="2">
        <v>27601</v>
      </c>
      <c r="M146" s="2" t="s">
        <v>479</v>
      </c>
    </row>
    <row r="147" spans="1:13" ht="63" x14ac:dyDescent="0.25">
      <c r="A147" s="2" t="s">
        <v>474</v>
      </c>
      <c r="B147" s="2" t="s">
        <v>480</v>
      </c>
      <c r="C147" s="2" t="s">
        <v>461</v>
      </c>
      <c r="D147" s="2" t="s">
        <v>270</v>
      </c>
      <c r="E147" s="2" t="s">
        <v>17</v>
      </c>
      <c r="F147" s="3" t="str">
        <f>HYPERLINK("https://twitter.com/allenjohnsonnr?lang=en","@AllenJohnsonNR")</f>
        <v>@AllenJohnsonNR</v>
      </c>
      <c r="G147" s="3" t="str">
        <f>HYPERLINK("mailto:allen.johnson@greensboro.com","allen.johnson@greensboro.com")</f>
        <v>allen.johnson@greensboro.com</v>
      </c>
      <c r="H147" s="2" t="s">
        <v>477</v>
      </c>
      <c r="I147" s="2" t="s">
        <v>478</v>
      </c>
      <c r="J147" s="2" t="s">
        <v>450</v>
      </c>
      <c r="K147" s="2" t="s">
        <v>21</v>
      </c>
      <c r="L147" s="2">
        <v>27601</v>
      </c>
      <c r="M147" s="2" t="s">
        <v>481</v>
      </c>
    </row>
    <row r="148" spans="1:13" ht="63" x14ac:dyDescent="0.25">
      <c r="A148" s="2" t="s">
        <v>474</v>
      </c>
      <c r="B148" s="2" t="s">
        <v>482</v>
      </c>
      <c r="C148" s="2" t="s">
        <v>483</v>
      </c>
      <c r="D148" s="2" t="s">
        <v>400</v>
      </c>
      <c r="E148" s="2" t="s">
        <v>17</v>
      </c>
      <c r="F148" s="2"/>
      <c r="G148" s="3" t="str">
        <f>HYPERLINK("mailto:doug.clark@greensboro.com","doug.clark@greensboro.com")</f>
        <v>doug.clark@greensboro.com</v>
      </c>
      <c r="H148" s="2" t="s">
        <v>477</v>
      </c>
      <c r="I148" s="2" t="s">
        <v>478</v>
      </c>
      <c r="J148" s="2" t="s">
        <v>450</v>
      </c>
      <c r="K148" s="2" t="s">
        <v>21</v>
      </c>
      <c r="L148" s="2">
        <v>27401</v>
      </c>
      <c r="M148" s="2" t="s">
        <v>484</v>
      </c>
    </row>
    <row r="149" spans="1:13" ht="63" x14ac:dyDescent="0.25">
      <c r="A149" s="2" t="s">
        <v>474</v>
      </c>
      <c r="B149" s="2" t="s">
        <v>485</v>
      </c>
      <c r="C149" s="2" t="s">
        <v>486</v>
      </c>
      <c r="D149" s="2" t="s">
        <v>117</v>
      </c>
      <c r="E149" s="2" t="s">
        <v>17</v>
      </c>
      <c r="F149" s="3" t="str">
        <f>HYPERLINK("https://twitter.com/steven_doyleNR","@steven_doyleNR")</f>
        <v>@steven_doyleNR</v>
      </c>
      <c r="G149" s="3" t="str">
        <f>HYPERLINK("mailto:steven.doyle@greensboro.com","steven.doyle@greensboro.com")</f>
        <v>steven.doyle@greensboro.com</v>
      </c>
      <c r="H149" s="2" t="s">
        <v>477</v>
      </c>
      <c r="I149" s="2" t="s">
        <v>478</v>
      </c>
      <c r="J149" s="2" t="s">
        <v>450</v>
      </c>
      <c r="K149" s="2" t="s">
        <v>21</v>
      </c>
      <c r="L149" s="2">
        <v>27401</v>
      </c>
      <c r="M149" s="2" t="s">
        <v>487</v>
      </c>
    </row>
    <row r="150" spans="1:13" ht="63" x14ac:dyDescent="0.25">
      <c r="A150" s="2" t="s">
        <v>474</v>
      </c>
      <c r="B150" s="2" t="s">
        <v>488</v>
      </c>
      <c r="C150" s="2" t="s">
        <v>489</v>
      </c>
      <c r="D150" s="2" t="s">
        <v>490</v>
      </c>
      <c r="E150" s="2" t="s">
        <v>17</v>
      </c>
      <c r="F150" s="5"/>
      <c r="G150" s="3" t="str">
        <f>HYPERLINK("mailto:mike.kernels@greensboro.com","mike.kernels@greensboro.com")</f>
        <v>mike.kernels@greensboro.com</v>
      </c>
      <c r="H150" s="2" t="s">
        <v>477</v>
      </c>
      <c r="I150" s="2" t="s">
        <v>478</v>
      </c>
      <c r="J150" s="2" t="s">
        <v>450</v>
      </c>
      <c r="K150" s="2" t="s">
        <v>21</v>
      </c>
      <c r="L150" s="2">
        <v>27401</v>
      </c>
      <c r="M150" s="2" t="s">
        <v>491</v>
      </c>
    </row>
    <row r="151" spans="1:13" ht="78.75" x14ac:dyDescent="0.25">
      <c r="A151" s="2" t="s">
        <v>474</v>
      </c>
      <c r="B151" s="2" t="s">
        <v>405</v>
      </c>
      <c r="C151" s="2" t="s">
        <v>492</v>
      </c>
      <c r="D151" s="2" t="s">
        <v>490</v>
      </c>
      <c r="E151" s="2" t="s">
        <v>17</v>
      </c>
      <c r="F151" s="5"/>
      <c r="G151" s="3" t="str">
        <f>HYPERLINK("mailto:jennifer.fernandez@greensboro.com","jennifer.fernandez@greensboro.com")</f>
        <v>jennifer.fernandez@greensboro.com</v>
      </c>
      <c r="H151" s="2" t="s">
        <v>477</v>
      </c>
      <c r="I151" s="2" t="s">
        <v>478</v>
      </c>
      <c r="J151" s="2" t="s">
        <v>450</v>
      </c>
      <c r="K151" s="2" t="s">
        <v>21</v>
      </c>
      <c r="L151" s="2">
        <v>27401</v>
      </c>
      <c r="M151" s="2" t="s">
        <v>493</v>
      </c>
    </row>
    <row r="152" spans="1:13" ht="94.5" x14ac:dyDescent="0.25">
      <c r="A152" s="2" t="s">
        <v>474</v>
      </c>
      <c r="B152" s="2" t="s">
        <v>494</v>
      </c>
      <c r="C152" s="2" t="s">
        <v>495</v>
      </c>
      <c r="D152" s="2" t="s">
        <v>496</v>
      </c>
      <c r="E152" s="2" t="s">
        <v>17</v>
      </c>
      <c r="F152" s="3" t="str">
        <f>HYPERLINK("https://twitter.com/susanladdNR?ref_src=twsrc%5Egoogle%7Ctwcamp%5Eserp%7Ctwgr%5Eauthor","@SusanLaddNR")</f>
        <v>@SusanLaddNR</v>
      </c>
      <c r="G152" s="3" t="str">
        <f>HYPERLINK("mailto:susan.ladd@greensboro.com","susan.ladd@greensboro.com")</f>
        <v>susan.ladd@greensboro.com</v>
      </c>
      <c r="H152" s="2" t="s">
        <v>477</v>
      </c>
      <c r="I152" s="2" t="s">
        <v>478</v>
      </c>
      <c r="J152" s="2" t="s">
        <v>450</v>
      </c>
      <c r="K152" s="2" t="s">
        <v>21</v>
      </c>
      <c r="L152" s="2">
        <v>27401</v>
      </c>
      <c r="M152" s="2" t="s">
        <v>497</v>
      </c>
    </row>
    <row r="153" spans="1:13" ht="78.75" x14ac:dyDescent="0.25">
      <c r="A153" s="2" t="s">
        <v>474</v>
      </c>
      <c r="B153" s="2" t="s">
        <v>311</v>
      </c>
      <c r="C153" s="2" t="s">
        <v>498</v>
      </c>
      <c r="D153" s="2" t="s">
        <v>499</v>
      </c>
      <c r="E153" s="2" t="s">
        <v>17</v>
      </c>
      <c r="F153" s="3" t="str">
        <f>HYPERLINK("https://twitter.com/nmclaughlinNR","@nmclaughlinNR")</f>
        <v>@nmclaughlinNR</v>
      </c>
      <c r="G153" s="3" t="str">
        <f>HYPERLINK("mailto:nancy.mclaughlin@greensboro.com","nancy.mclaughlin@greensboro.com")</f>
        <v>nancy.mclaughlin@greensboro.com</v>
      </c>
      <c r="H153" s="2" t="s">
        <v>477</v>
      </c>
      <c r="I153" s="2" t="s">
        <v>478</v>
      </c>
      <c r="J153" s="2" t="s">
        <v>450</v>
      </c>
      <c r="K153" s="2" t="s">
        <v>21</v>
      </c>
      <c r="L153" s="2">
        <v>27401</v>
      </c>
      <c r="M153" s="2" t="s">
        <v>500</v>
      </c>
    </row>
    <row r="154" spans="1:13" ht="63" x14ac:dyDescent="0.25">
      <c r="A154" s="2" t="s">
        <v>474</v>
      </c>
      <c r="B154" s="2" t="s">
        <v>501</v>
      </c>
      <c r="C154" s="2" t="s">
        <v>502</v>
      </c>
      <c r="D154" s="2" t="s">
        <v>503</v>
      </c>
      <c r="E154" s="2" t="s">
        <v>17</v>
      </c>
      <c r="F154" s="6" t="str">
        <f>HYPERLINK("https://twitter.com/taftwirebacknr?lang=en","@TaftWirebackNR")</f>
        <v>@TaftWirebackNR</v>
      </c>
      <c r="G154" s="3" t="str">
        <f>HYPERLINK("mailto:taft.wireback@greensboro.com","taft.wireback@greensboro.com")</f>
        <v>taft.wireback@greensboro.com</v>
      </c>
      <c r="H154" s="2" t="s">
        <v>477</v>
      </c>
      <c r="I154" s="2" t="s">
        <v>478</v>
      </c>
      <c r="J154" s="2" t="s">
        <v>450</v>
      </c>
      <c r="K154" s="2" t="s">
        <v>21</v>
      </c>
      <c r="L154" s="2">
        <v>27401</v>
      </c>
      <c r="M154" s="2" t="s">
        <v>504</v>
      </c>
    </row>
    <row r="155" spans="1:13" ht="63" x14ac:dyDescent="0.25">
      <c r="A155" s="2" t="s">
        <v>474</v>
      </c>
      <c r="B155" s="2" t="s">
        <v>73</v>
      </c>
      <c r="C155" s="2" t="s">
        <v>505</v>
      </c>
      <c r="D155" s="2" t="s">
        <v>506</v>
      </c>
      <c r="E155" s="2" t="s">
        <v>17</v>
      </c>
      <c r="F155" s="6" t="str">
        <f>HYPERLINK("https://twitter.com/johnnewsomnr?lang=en","@JohnNewsomNR")</f>
        <v>@JohnNewsomNR</v>
      </c>
      <c r="G155" s="3" t="str">
        <f>HYPERLINK("mailto:john.newsom@greensboro.com","john.newsom@greensboro.com")</f>
        <v>john.newsom@greensboro.com</v>
      </c>
      <c r="H155" s="2" t="s">
        <v>477</v>
      </c>
      <c r="I155" s="2" t="s">
        <v>478</v>
      </c>
      <c r="J155" s="2" t="s">
        <v>450</v>
      </c>
      <c r="K155" s="2" t="s">
        <v>21</v>
      </c>
      <c r="L155" s="2">
        <v>27401</v>
      </c>
      <c r="M155" s="2" t="s">
        <v>507</v>
      </c>
    </row>
    <row r="156" spans="1:13" ht="78.75" x14ac:dyDescent="0.25">
      <c r="A156" s="2" t="s">
        <v>474</v>
      </c>
      <c r="B156" s="2" t="s">
        <v>508</v>
      </c>
      <c r="C156" s="2" t="s">
        <v>509</v>
      </c>
      <c r="D156" s="2" t="s">
        <v>510</v>
      </c>
      <c r="E156" s="2" t="s">
        <v>17</v>
      </c>
      <c r="F156" s="3" t="str">
        <f>HYPERLINK("https://twitter.com/DBattagliaNR","@DBattagliaNR")</f>
        <v>@DBattagliaNR</v>
      </c>
      <c r="G156" s="3" t="str">
        <f>HYPERLINK("mailto:danielle.battaglia@greensboro.com","danielle.battaglia@greensboro.com")</f>
        <v>danielle.battaglia@greensboro.com</v>
      </c>
      <c r="H156" s="2" t="s">
        <v>477</v>
      </c>
      <c r="I156" s="2" t="s">
        <v>478</v>
      </c>
      <c r="J156" s="2" t="s">
        <v>450</v>
      </c>
      <c r="K156" s="2" t="s">
        <v>21</v>
      </c>
      <c r="L156" s="2">
        <v>27401</v>
      </c>
      <c r="M156" s="2" t="s">
        <v>511</v>
      </c>
    </row>
    <row r="157" spans="1:13" ht="63" x14ac:dyDescent="0.25">
      <c r="A157" s="2" t="s">
        <v>474</v>
      </c>
      <c r="B157" s="2" t="s">
        <v>413</v>
      </c>
      <c r="C157" s="2" t="s">
        <v>512</v>
      </c>
      <c r="D157" s="2" t="s">
        <v>513</v>
      </c>
      <c r="E157" s="2" t="s">
        <v>17</v>
      </c>
      <c r="F157" s="6" t="str">
        <f>HYPERLINK("https://twitter.com/barronbiznr?lang=en","@barronbiznr")</f>
        <v>@barronbiznr</v>
      </c>
      <c r="G157" s="3" t="str">
        <f>HYPERLINK("mailto:dick.barron@greensboro.com","dick.barron@greensboro.com")</f>
        <v>dick.barron@greensboro.com</v>
      </c>
      <c r="H157" s="2" t="s">
        <v>477</v>
      </c>
      <c r="I157" s="2" t="s">
        <v>478</v>
      </c>
      <c r="J157" s="2" t="s">
        <v>450</v>
      </c>
      <c r="K157" s="2" t="s">
        <v>21</v>
      </c>
      <c r="L157" s="2">
        <v>27401</v>
      </c>
      <c r="M157" s="2" t="s">
        <v>514</v>
      </c>
    </row>
    <row r="158" spans="1:13" ht="63" x14ac:dyDescent="0.25">
      <c r="A158" s="2" t="s">
        <v>474</v>
      </c>
      <c r="B158" s="7"/>
      <c r="C158" s="7"/>
      <c r="D158" s="2" t="s">
        <v>37</v>
      </c>
      <c r="E158" s="2" t="s">
        <v>17</v>
      </c>
      <c r="F158" s="3" t="str">
        <f>HYPERLINK("https://twitter.com/NewsandRecord","@NewsandRecord")</f>
        <v>@NewsandRecord</v>
      </c>
      <c r="G158" s="3" t="str">
        <f>HYPERLINK("mailto:newsonline@greensboro.com","newsonline@greensboro.com")</f>
        <v>newsonline@greensboro.com</v>
      </c>
      <c r="H158" s="2" t="s">
        <v>477</v>
      </c>
      <c r="I158" s="2" t="s">
        <v>478</v>
      </c>
      <c r="J158" s="2" t="s">
        <v>450</v>
      </c>
      <c r="K158" s="2" t="s">
        <v>21</v>
      </c>
      <c r="L158" s="2">
        <v>27401</v>
      </c>
      <c r="M158" s="2" t="s">
        <v>515</v>
      </c>
    </row>
    <row r="159" spans="1:13" ht="63" x14ac:dyDescent="0.25">
      <c r="A159" s="2" t="s">
        <v>474</v>
      </c>
      <c r="B159" s="7"/>
      <c r="C159" s="7"/>
      <c r="D159" s="2" t="s">
        <v>38</v>
      </c>
      <c r="E159" s="2" t="s">
        <v>17</v>
      </c>
      <c r="F159" s="3" t="str">
        <f>HYPERLINK("https://twitter.com/NewsandRecord","@NewsandRecord")</f>
        <v>@NewsandRecord</v>
      </c>
      <c r="G159" s="3" t="str">
        <f>HYPERLINK("mailto:edpage@greensboro.com","edpage@greensboro.com")</f>
        <v>edpage@greensboro.com</v>
      </c>
      <c r="H159" s="2" t="s">
        <v>477</v>
      </c>
      <c r="I159" s="2" t="s">
        <v>478</v>
      </c>
      <c r="J159" s="2" t="s">
        <v>450</v>
      </c>
      <c r="K159" s="2" t="s">
        <v>21</v>
      </c>
      <c r="L159" s="2">
        <v>27401</v>
      </c>
      <c r="M159" s="2" t="s">
        <v>516</v>
      </c>
    </row>
    <row r="160" spans="1:13" ht="63" x14ac:dyDescent="0.25">
      <c r="A160" s="2" t="s">
        <v>517</v>
      </c>
      <c r="B160" s="2" t="s">
        <v>518</v>
      </c>
      <c r="C160" s="2" t="s">
        <v>519</v>
      </c>
      <c r="D160" s="2" t="s">
        <v>16</v>
      </c>
      <c r="E160" s="2" t="s">
        <v>17</v>
      </c>
      <c r="F160" s="3" t="str">
        <f>HYPERLINK("https://twitter.com/RRHeraldPublshr","@RRHeraldPublshr")</f>
        <v>@RRHeraldPublshr</v>
      </c>
      <c r="G160" s="2" t="s">
        <v>520</v>
      </c>
      <c r="H160" s="2" t="s">
        <v>521</v>
      </c>
      <c r="I160" s="2" t="s">
        <v>522</v>
      </c>
      <c r="J160" s="2" t="s">
        <v>523</v>
      </c>
      <c r="K160" s="2" t="s">
        <v>21</v>
      </c>
      <c r="L160" s="2">
        <v>27870</v>
      </c>
      <c r="M160" s="2" t="s">
        <v>524</v>
      </c>
    </row>
    <row r="161" spans="1:13" ht="63" x14ac:dyDescent="0.25">
      <c r="A161" s="2" t="s">
        <v>517</v>
      </c>
      <c r="B161" s="2" t="s">
        <v>266</v>
      </c>
      <c r="C161" s="2" t="s">
        <v>525</v>
      </c>
      <c r="D161" s="2" t="s">
        <v>117</v>
      </c>
      <c r="E161" s="2" t="s">
        <v>17</v>
      </c>
      <c r="F161" s="3" t="str">
        <f>HYPERLINK("https://twitter.com/dukeconover?lang=en","@DukeConover")</f>
        <v>@DukeConover</v>
      </c>
      <c r="G161" s="4" t="s">
        <v>526</v>
      </c>
      <c r="H161" s="2" t="s">
        <v>521</v>
      </c>
      <c r="I161" s="2" t="s">
        <v>522</v>
      </c>
      <c r="J161" s="2" t="s">
        <v>523</v>
      </c>
      <c r="K161" s="2" t="s">
        <v>21</v>
      </c>
      <c r="L161" s="2">
        <v>27870</v>
      </c>
      <c r="M161" s="2" t="s">
        <v>527</v>
      </c>
    </row>
    <row r="162" spans="1:13" ht="63" x14ac:dyDescent="0.25">
      <c r="A162" s="2" t="s">
        <v>517</v>
      </c>
      <c r="B162" s="2" t="s">
        <v>528</v>
      </c>
      <c r="C162" s="2" t="s">
        <v>529</v>
      </c>
      <c r="D162" s="2" t="s">
        <v>217</v>
      </c>
      <c r="E162" s="2" t="s">
        <v>17</v>
      </c>
      <c r="F162" s="2"/>
      <c r="G162" s="3" t="str">
        <f>HYPERLINK("mailto:tiabedwell@rrdailyherald.com","tiabedwell@rrdailyherald.com")</f>
        <v>tiabedwell@rrdailyherald.com</v>
      </c>
      <c r="H162" s="2" t="s">
        <v>521</v>
      </c>
      <c r="I162" s="2" t="s">
        <v>522</v>
      </c>
      <c r="J162" s="2" t="s">
        <v>523</v>
      </c>
      <c r="K162" s="2" t="s">
        <v>21</v>
      </c>
      <c r="L162" s="2">
        <v>27870</v>
      </c>
      <c r="M162" s="2" t="s">
        <v>530</v>
      </c>
    </row>
    <row r="163" spans="1:13" ht="63" x14ac:dyDescent="0.25">
      <c r="A163" s="2" t="s">
        <v>517</v>
      </c>
      <c r="B163" s="2" t="s">
        <v>531</v>
      </c>
      <c r="C163" s="2" t="s">
        <v>532</v>
      </c>
      <c r="D163" s="2" t="s">
        <v>533</v>
      </c>
      <c r="E163" s="2" t="s">
        <v>17</v>
      </c>
      <c r="F163" s="2"/>
      <c r="G163" s="3" t="str">
        <f>HYPERLINK("mailto:khoang@rrdailyherald.com","khoang@rrdailyherald.com")</f>
        <v>khoang@rrdailyherald.com</v>
      </c>
      <c r="H163" s="2" t="s">
        <v>521</v>
      </c>
      <c r="I163" s="2" t="s">
        <v>522</v>
      </c>
      <c r="J163" s="2" t="s">
        <v>523</v>
      </c>
      <c r="K163" s="2" t="s">
        <v>21</v>
      </c>
      <c r="L163" s="2">
        <v>27870</v>
      </c>
      <c r="M163" s="2" t="s">
        <v>534</v>
      </c>
    </row>
    <row r="164" spans="1:13" ht="63" x14ac:dyDescent="0.25">
      <c r="A164" s="2" t="s">
        <v>517</v>
      </c>
      <c r="B164" s="7"/>
      <c r="C164" s="7"/>
      <c r="D164" s="2" t="s">
        <v>38</v>
      </c>
      <c r="E164" s="2" t="s">
        <v>17</v>
      </c>
      <c r="F164" s="3" t="str">
        <f>HYPERLINK("https://twitter.com/rrdailyherald","@rrdailyherald")</f>
        <v>@rrdailyherald</v>
      </c>
      <c r="G164" s="3" t="str">
        <f>HYPERLINK("mailto:dconover@rrdailyherald.com","dconover@rrdailyherald.com")</f>
        <v>dconover@rrdailyherald.com</v>
      </c>
      <c r="H164" s="2" t="s">
        <v>521</v>
      </c>
      <c r="I164" s="2" t="s">
        <v>522</v>
      </c>
      <c r="J164" s="2" t="s">
        <v>523</v>
      </c>
      <c r="K164" s="2" t="s">
        <v>21</v>
      </c>
      <c r="L164" s="2">
        <v>27870</v>
      </c>
      <c r="M164" s="7" t="s">
        <v>535</v>
      </c>
    </row>
    <row r="165" spans="1:13" ht="78.75" x14ac:dyDescent="0.25">
      <c r="A165" s="2" t="s">
        <v>536</v>
      </c>
      <c r="B165" s="2" t="s">
        <v>537</v>
      </c>
      <c r="C165" s="2" t="s">
        <v>538</v>
      </c>
      <c r="D165" s="2" t="s">
        <v>205</v>
      </c>
      <c r="E165" s="2" t="s">
        <v>17</v>
      </c>
      <c r="F165" s="2"/>
      <c r="G165" s="3" t="str">
        <f>HYPERLINK("mailto:badams@mydailyrecord.com","badams@mydailyrecord.com")</f>
        <v>badams@mydailyrecord.com</v>
      </c>
      <c r="H165" s="2" t="s">
        <v>539</v>
      </c>
      <c r="I165" s="2" t="s">
        <v>540</v>
      </c>
      <c r="J165" s="2" t="s">
        <v>541</v>
      </c>
      <c r="K165" s="2" t="s">
        <v>21</v>
      </c>
      <c r="L165" s="2">
        <v>28335</v>
      </c>
      <c r="M165" s="2" t="s">
        <v>542</v>
      </c>
    </row>
    <row r="166" spans="1:13" ht="78.75" x14ac:dyDescent="0.25">
      <c r="A166" s="2" t="s">
        <v>536</v>
      </c>
      <c r="B166" s="2" t="s">
        <v>125</v>
      </c>
      <c r="C166" s="2" t="s">
        <v>543</v>
      </c>
      <c r="D166" s="2" t="s">
        <v>117</v>
      </c>
      <c r="E166" s="2" t="s">
        <v>17</v>
      </c>
      <c r="F166" s="6" t="str">
        <f>HYPERLINK("https://twitter.com/lisajfarmer","@lisajfarmer")</f>
        <v>@lisajfarmer</v>
      </c>
      <c r="G166" s="3" t="str">
        <f>HYPERLINK("mailto:lfarmer@mydailyrecord.com","lfarmer@mydailyrecord.com")</f>
        <v>lfarmer@mydailyrecord.com</v>
      </c>
      <c r="H166" s="2" t="s">
        <v>539</v>
      </c>
      <c r="I166" s="2" t="s">
        <v>540</v>
      </c>
      <c r="J166" s="2" t="s">
        <v>541</v>
      </c>
      <c r="K166" s="2" t="s">
        <v>21</v>
      </c>
      <c r="L166" s="2">
        <v>28335</v>
      </c>
      <c r="M166" s="2" t="s">
        <v>542</v>
      </c>
    </row>
    <row r="167" spans="1:13" ht="78.75" x14ac:dyDescent="0.25">
      <c r="A167" s="2" t="s">
        <v>536</v>
      </c>
      <c r="B167" s="7"/>
      <c r="C167" s="7"/>
      <c r="D167" s="2" t="s">
        <v>37</v>
      </c>
      <c r="E167" s="2" t="s">
        <v>17</v>
      </c>
      <c r="F167" s="2"/>
      <c r="G167" s="3" t="str">
        <f>HYPERLINK("mailto:news@mydailyrecord.com","news@mydailyrecord.com")</f>
        <v>news@mydailyrecord.com</v>
      </c>
      <c r="H167" s="2" t="s">
        <v>539</v>
      </c>
      <c r="I167" s="2" t="s">
        <v>540</v>
      </c>
      <c r="J167" s="2" t="s">
        <v>541</v>
      </c>
      <c r="K167" s="2" t="s">
        <v>21</v>
      </c>
      <c r="L167" s="2">
        <v>28335</v>
      </c>
      <c r="M167" s="2" t="s">
        <v>542</v>
      </c>
    </row>
    <row r="168" spans="1:13" ht="78.75" x14ac:dyDescent="0.25">
      <c r="A168" s="2" t="s">
        <v>536</v>
      </c>
      <c r="B168" s="7"/>
      <c r="C168" s="7"/>
      <c r="D168" s="2" t="s">
        <v>38</v>
      </c>
      <c r="E168" s="2" t="s">
        <v>17</v>
      </c>
      <c r="F168" s="2"/>
      <c r="G168" s="3" t="str">
        <f>HYPERLINK("mailto:badams@mydailyrecord.com","badams@mydailyrecord.com")</f>
        <v>badams@mydailyrecord.com</v>
      </c>
      <c r="H168" s="2" t="s">
        <v>539</v>
      </c>
      <c r="I168" s="2" t="s">
        <v>540</v>
      </c>
      <c r="J168" s="2" t="s">
        <v>541</v>
      </c>
      <c r="K168" s="2" t="s">
        <v>21</v>
      </c>
      <c r="L168" s="2">
        <v>28335</v>
      </c>
      <c r="M168" s="2" t="s">
        <v>544</v>
      </c>
    </row>
    <row r="169" spans="1:13" ht="78.75" x14ac:dyDescent="0.25">
      <c r="A169" s="2" t="s">
        <v>545</v>
      </c>
      <c r="B169" s="2" t="s">
        <v>546</v>
      </c>
      <c r="C169" s="2" t="s">
        <v>547</v>
      </c>
      <c r="D169" s="2" t="s">
        <v>16</v>
      </c>
      <c r="E169" s="2" t="s">
        <v>17</v>
      </c>
      <c r="F169" s="2"/>
      <c r="G169" s="2"/>
      <c r="H169" s="2" t="s">
        <v>548</v>
      </c>
      <c r="I169" s="2" t="s">
        <v>549</v>
      </c>
      <c r="J169" s="2" t="s">
        <v>550</v>
      </c>
      <c r="K169" s="2" t="s">
        <v>21</v>
      </c>
      <c r="L169" s="2">
        <v>28792</v>
      </c>
      <c r="M169" s="2" t="s">
        <v>551</v>
      </c>
    </row>
    <row r="170" spans="1:13" ht="78.75" x14ac:dyDescent="0.25">
      <c r="A170" s="2" t="s">
        <v>545</v>
      </c>
      <c r="B170" s="2" t="s">
        <v>405</v>
      </c>
      <c r="C170" s="2" t="s">
        <v>552</v>
      </c>
      <c r="D170" s="2" t="s">
        <v>117</v>
      </c>
      <c r="E170" s="2" t="s">
        <v>17</v>
      </c>
      <c r="F170" s="2"/>
      <c r="G170" s="3" t="str">
        <f>HYPERLINK("mailto:jennifer.heaslip@blueridgenow.com","jennifer.heaslip@blueridgenow.com")</f>
        <v>jennifer.heaslip@blueridgenow.com</v>
      </c>
      <c r="H170" s="2" t="s">
        <v>548</v>
      </c>
      <c r="I170" s="2" t="s">
        <v>549</v>
      </c>
      <c r="J170" s="2" t="s">
        <v>550</v>
      </c>
      <c r="K170" s="2" t="s">
        <v>21</v>
      </c>
      <c r="L170" s="2">
        <v>28792</v>
      </c>
      <c r="M170" s="2" t="s">
        <v>553</v>
      </c>
    </row>
    <row r="171" spans="1:13" ht="78.75" x14ac:dyDescent="0.25">
      <c r="A171" s="2" t="s">
        <v>545</v>
      </c>
      <c r="B171" s="2" t="s">
        <v>554</v>
      </c>
      <c r="C171" s="2" t="s">
        <v>555</v>
      </c>
      <c r="D171" s="2" t="s">
        <v>33</v>
      </c>
      <c r="E171" s="2" t="s">
        <v>17</v>
      </c>
      <c r="F171" s="3" t="str">
        <f>HYPERLINK("https://twitter.com/BRNAndrew","@BRNAndrew")</f>
        <v>@BRNAndrew</v>
      </c>
      <c r="G171" s="3" t="str">
        <f>HYPERLINK("mailto:andrew.mundhenk@blueridgenow.com","andrew.mundhenk@blueridgenow.com")</f>
        <v>andrew.mundhenk@blueridgenow.com</v>
      </c>
      <c r="H171" s="2" t="s">
        <v>548</v>
      </c>
      <c r="I171" s="2" t="s">
        <v>549</v>
      </c>
      <c r="J171" s="2" t="s">
        <v>550</v>
      </c>
      <c r="K171" s="2" t="s">
        <v>21</v>
      </c>
      <c r="L171" s="2">
        <v>28792</v>
      </c>
      <c r="M171" s="2" t="s">
        <v>556</v>
      </c>
    </row>
    <row r="172" spans="1:13" ht="78.75" x14ac:dyDescent="0.25">
      <c r="A172" s="2" t="s">
        <v>545</v>
      </c>
      <c r="B172" s="2" t="s">
        <v>557</v>
      </c>
      <c r="C172" s="2" t="s">
        <v>558</v>
      </c>
      <c r="D172" s="2" t="s">
        <v>559</v>
      </c>
      <c r="E172" s="2" t="s">
        <v>17</v>
      </c>
      <c r="F172" s="3" t="str">
        <f>HYPERLINK("https://twitter.com/BRNDerek","@BRNDerek")</f>
        <v>@BRNDerek</v>
      </c>
      <c r="G172" s="3" t="str">
        <f>HYPERLINK("mailto:derek.lacey@blueridgenow.come","derek.lacey@blueridgenow.come")</f>
        <v>derek.lacey@blueridgenow.come</v>
      </c>
      <c r="H172" s="2" t="s">
        <v>548</v>
      </c>
      <c r="I172" s="2" t="s">
        <v>549</v>
      </c>
      <c r="J172" s="2" t="s">
        <v>550</v>
      </c>
      <c r="K172" s="2" t="s">
        <v>21</v>
      </c>
      <c r="L172" s="2">
        <v>28792</v>
      </c>
      <c r="M172" s="2" t="s">
        <v>560</v>
      </c>
    </row>
    <row r="173" spans="1:13" ht="78.75" x14ac:dyDescent="0.25">
      <c r="A173" s="2" t="s">
        <v>545</v>
      </c>
      <c r="B173" s="7"/>
      <c r="C173" s="7"/>
      <c r="D173" s="2" t="s">
        <v>37</v>
      </c>
      <c r="E173" s="2" t="s">
        <v>17</v>
      </c>
      <c r="F173" s="3" t="str">
        <f>HYPERLINK("https://twitter.com/BlueRidgeNow","@BlueRidgeNow")</f>
        <v>@BlueRidgeNow</v>
      </c>
      <c r="G173" s="3" t="str">
        <f>HYPERLINK("mailto:news@blueridgenow.com","news@blueridgenow.com")</f>
        <v>news@blueridgenow.com</v>
      </c>
      <c r="H173" s="2" t="s">
        <v>548</v>
      </c>
      <c r="I173" s="2" t="s">
        <v>549</v>
      </c>
      <c r="J173" s="2" t="s">
        <v>550</v>
      </c>
      <c r="K173" s="2" t="s">
        <v>21</v>
      </c>
      <c r="L173" s="2">
        <v>28792</v>
      </c>
      <c r="M173" s="2" t="s">
        <v>561</v>
      </c>
    </row>
    <row r="174" spans="1:13" ht="78.75" x14ac:dyDescent="0.25">
      <c r="A174" s="2" t="s">
        <v>545</v>
      </c>
      <c r="B174" s="7"/>
      <c r="C174" s="7"/>
      <c r="D174" s="2" t="s">
        <v>38</v>
      </c>
      <c r="E174" s="2" t="s">
        <v>17</v>
      </c>
      <c r="F174" s="3" t="str">
        <f>HYPERLINK("https://twitter.com/BlueRidgeNow","@BlueRidgeNow")</f>
        <v>@BlueRidgeNow</v>
      </c>
      <c r="G174" s="3" t="str">
        <f>HYPERLINK("mailto:tnletters@blueridgenow.com","tnletters@blueridgenow.com")</f>
        <v>tnletters@blueridgenow.com</v>
      </c>
      <c r="H174" s="2" t="s">
        <v>548</v>
      </c>
      <c r="I174" s="2" t="s">
        <v>549</v>
      </c>
      <c r="J174" s="2" t="s">
        <v>550</v>
      </c>
      <c r="K174" s="2" t="s">
        <v>21</v>
      </c>
      <c r="L174" s="2">
        <v>28792</v>
      </c>
      <c r="M174" s="2" t="s">
        <v>562</v>
      </c>
    </row>
    <row r="175" spans="1:13" ht="94.5" x14ac:dyDescent="0.25">
      <c r="A175" s="2" t="s">
        <v>563</v>
      </c>
      <c r="B175" s="2" t="s">
        <v>144</v>
      </c>
      <c r="C175" s="2" t="s">
        <v>145</v>
      </c>
      <c r="D175" s="2" t="s">
        <v>16</v>
      </c>
      <c r="E175" s="2" t="s">
        <v>17</v>
      </c>
      <c r="F175" s="2"/>
      <c r="G175" s="3" t="str">
        <f>HYPERLINK("mailto:emillsaps@statesville.com","emillsaps@statesville.com")</f>
        <v>emillsaps@statesville.com</v>
      </c>
      <c r="H175" s="2" t="s">
        <v>564</v>
      </c>
      <c r="I175" s="2" t="s">
        <v>565</v>
      </c>
      <c r="J175" s="2" t="s">
        <v>566</v>
      </c>
      <c r="K175" s="2" t="s">
        <v>21</v>
      </c>
      <c r="L175" s="2">
        <v>28402</v>
      </c>
      <c r="M175" s="2" t="s">
        <v>567</v>
      </c>
    </row>
    <row r="176" spans="1:13" ht="94.5" x14ac:dyDescent="0.25">
      <c r="A176" s="2" t="s">
        <v>563</v>
      </c>
      <c r="B176" s="2" t="s">
        <v>568</v>
      </c>
      <c r="C176" s="2" t="s">
        <v>569</v>
      </c>
      <c r="D176" s="2" t="s">
        <v>25</v>
      </c>
      <c r="E176" s="2" t="s">
        <v>17</v>
      </c>
      <c r="F176" s="2"/>
      <c r="G176" s="3" t="str">
        <f>HYPERLINK("mailto:dibach@statesville.com","dibach@statesville.com")</f>
        <v>dibach@statesville.com</v>
      </c>
      <c r="H176" s="2" t="s">
        <v>564</v>
      </c>
      <c r="I176" s="2" t="s">
        <v>565</v>
      </c>
      <c r="J176" s="2" t="s">
        <v>566</v>
      </c>
      <c r="K176" s="2" t="s">
        <v>21</v>
      </c>
      <c r="L176" s="2">
        <v>28677</v>
      </c>
      <c r="M176" s="2" t="s">
        <v>570</v>
      </c>
    </row>
    <row r="177" spans="1:13" ht="94.5" x14ac:dyDescent="0.25">
      <c r="A177" s="2" t="s">
        <v>563</v>
      </c>
      <c r="B177" s="2" t="s">
        <v>571</v>
      </c>
      <c r="C177" s="2" t="s">
        <v>572</v>
      </c>
      <c r="D177" s="2" t="s">
        <v>33</v>
      </c>
      <c r="E177" s="2" t="s">
        <v>17</v>
      </c>
      <c r="F177" s="3" t="str">
        <f>HYPERLINK("https://twitter.com/swicegood_donna","@swicegood_donna")</f>
        <v>@swicegood_donna</v>
      </c>
      <c r="G177" s="3" t="str">
        <f>HYPERLINK("mailto:dswicegood@statesville.com","dswicegood@statesville.com")</f>
        <v>dswicegood@statesville.com</v>
      </c>
      <c r="H177" s="2" t="s">
        <v>564</v>
      </c>
      <c r="I177" s="2" t="s">
        <v>565</v>
      </c>
      <c r="J177" s="2" t="s">
        <v>566</v>
      </c>
      <c r="K177" s="2" t="s">
        <v>21</v>
      </c>
      <c r="L177" s="2">
        <v>28677</v>
      </c>
      <c r="M177" s="2" t="s">
        <v>573</v>
      </c>
    </row>
    <row r="178" spans="1:13" ht="94.5" x14ac:dyDescent="0.25">
      <c r="A178" s="2" t="s">
        <v>563</v>
      </c>
      <c r="B178" s="2" t="s">
        <v>260</v>
      </c>
      <c r="C178" s="2" t="s">
        <v>574</v>
      </c>
      <c r="D178" s="2" t="s">
        <v>575</v>
      </c>
      <c r="E178" s="2" t="s">
        <v>17</v>
      </c>
      <c r="F178" s="3" t="str">
        <f>HYPERLINK("https://twitter.com/im_robert_e_lee?lang=en","@Im_Robert_E_Lee")</f>
        <v>@Im_Robert_E_Lee</v>
      </c>
      <c r="G178" s="3" t="str">
        <f>HYPERLINK("mailto:rlee@statesville.com","rlee@statesville.com")</f>
        <v>rlee@statesville.com</v>
      </c>
      <c r="H178" s="2" t="s">
        <v>576</v>
      </c>
      <c r="I178" s="2" t="s">
        <v>565</v>
      </c>
      <c r="J178" s="2" t="s">
        <v>566</v>
      </c>
      <c r="K178" s="2" t="s">
        <v>21</v>
      </c>
      <c r="L178" s="2">
        <v>28677</v>
      </c>
      <c r="M178" s="2" t="s">
        <v>573</v>
      </c>
    </row>
    <row r="179" spans="1:13" ht="94.5" x14ac:dyDescent="0.25">
      <c r="A179" s="2" t="s">
        <v>563</v>
      </c>
      <c r="B179" s="7"/>
      <c r="C179" s="7"/>
      <c r="D179" s="2" t="s">
        <v>37</v>
      </c>
      <c r="E179" s="2" t="s">
        <v>17</v>
      </c>
      <c r="F179" s="6" t="str">
        <f>HYPERLINK("https://twitter.com/statesville","@statesville")</f>
        <v>@statesville</v>
      </c>
      <c r="G179" s="3" t="str">
        <f>HYPERLINK("mailto:news@statesville.com","news@statesville.com")</f>
        <v>news@statesville.com</v>
      </c>
      <c r="H179" s="2" t="s">
        <v>564</v>
      </c>
      <c r="I179" s="2" t="s">
        <v>565</v>
      </c>
      <c r="J179" s="2" t="s">
        <v>566</v>
      </c>
      <c r="K179" s="2" t="s">
        <v>21</v>
      </c>
      <c r="L179" s="2">
        <v>28677</v>
      </c>
      <c r="M179" s="2" t="s">
        <v>573</v>
      </c>
    </row>
    <row r="180" spans="1:13" ht="94.5" x14ac:dyDescent="0.25">
      <c r="A180" s="2" t="s">
        <v>563</v>
      </c>
      <c r="B180" s="7"/>
      <c r="C180" s="7"/>
      <c r="D180" s="2" t="s">
        <v>38</v>
      </c>
      <c r="E180" s="2" t="s">
        <v>17</v>
      </c>
      <c r="F180" s="6" t="str">
        <f>HYPERLINK("https://twitter.com/statesville","@statesville")</f>
        <v>@statesville</v>
      </c>
      <c r="G180" s="3" t="str">
        <f>HYPERLINK("mailto:news@statesville.com","news@statesville.com")</f>
        <v>news@statesville.com</v>
      </c>
      <c r="H180" s="2" t="s">
        <v>564</v>
      </c>
      <c r="I180" s="2" t="s">
        <v>565</v>
      </c>
      <c r="J180" s="2" t="s">
        <v>566</v>
      </c>
      <c r="K180" s="2" t="s">
        <v>21</v>
      </c>
      <c r="L180" s="2">
        <v>28677</v>
      </c>
      <c r="M180" s="2" t="s">
        <v>573</v>
      </c>
    </row>
    <row r="181" spans="1:13" ht="63" x14ac:dyDescent="0.25">
      <c r="A181" s="2" t="s">
        <v>577</v>
      </c>
      <c r="B181" s="2" t="s">
        <v>578</v>
      </c>
      <c r="C181" s="2" t="s">
        <v>579</v>
      </c>
      <c r="D181" s="2" t="s">
        <v>25</v>
      </c>
      <c r="E181" s="2" t="s">
        <v>17</v>
      </c>
      <c r="F181" s="2"/>
      <c r="G181" s="3" t="str">
        <f>HYPERLINK("mailto:editor@sanfordherald.com","editor@sanfordherald.com")</f>
        <v>editor@sanfordherald.com</v>
      </c>
      <c r="H181" s="2" t="s">
        <v>580</v>
      </c>
      <c r="I181" s="2" t="s">
        <v>581</v>
      </c>
      <c r="J181" s="2" t="s">
        <v>574</v>
      </c>
      <c r="K181" s="2" t="s">
        <v>21</v>
      </c>
      <c r="L181" s="2">
        <v>27330</v>
      </c>
      <c r="M181" s="2" t="s">
        <v>582</v>
      </c>
    </row>
    <row r="182" spans="1:13" ht="47.25" x14ac:dyDescent="0.25">
      <c r="A182" s="2" t="s">
        <v>577</v>
      </c>
      <c r="B182" s="2" t="s">
        <v>583</v>
      </c>
      <c r="C182" s="2" t="s">
        <v>584</v>
      </c>
      <c r="D182" s="2" t="s">
        <v>217</v>
      </c>
      <c r="E182" s="2" t="s">
        <v>17</v>
      </c>
      <c r="F182" s="3" t="str">
        <f>HYPERLINK("https://twitter.com/L_Martinez13","@L_Martinez13")</f>
        <v>@L_Martinez13</v>
      </c>
      <c r="G182" s="3" t="str">
        <f>HYPERLINK("mailto:logan@sanfordherald.com","logan@sanfordherald.com")</f>
        <v>logan@sanfordherald.com</v>
      </c>
      <c r="H182" s="2" t="s">
        <v>580</v>
      </c>
      <c r="I182" s="2" t="s">
        <v>581</v>
      </c>
      <c r="J182" s="2" t="s">
        <v>574</v>
      </c>
      <c r="K182" s="2" t="s">
        <v>21</v>
      </c>
      <c r="L182" s="2">
        <v>27330</v>
      </c>
      <c r="M182" s="2" t="s">
        <v>585</v>
      </c>
    </row>
    <row r="183" spans="1:13" ht="63" x14ac:dyDescent="0.25">
      <c r="A183" s="2" t="s">
        <v>577</v>
      </c>
      <c r="B183" s="2" t="s">
        <v>377</v>
      </c>
      <c r="C183" s="2" t="s">
        <v>586</v>
      </c>
      <c r="D183" s="2" t="s">
        <v>33</v>
      </c>
      <c r="E183" s="2" t="s">
        <v>17</v>
      </c>
      <c r="F183" s="3" t="str">
        <f>HYPERLINK("https://twitter.com/Zachary_Horner","@Zachary_Horner")</f>
        <v>@Zachary_Horner</v>
      </c>
      <c r="G183" s="3" t="str">
        <f>HYPERLINK("mailto:zhorner@sanfordherald.com","zhorner@sanfordherald.com")</f>
        <v>zhorner@sanfordherald.com</v>
      </c>
      <c r="H183" s="2" t="s">
        <v>580</v>
      </c>
      <c r="I183" s="2" t="s">
        <v>581</v>
      </c>
      <c r="J183" s="2" t="s">
        <v>574</v>
      </c>
      <c r="K183" s="2" t="s">
        <v>21</v>
      </c>
      <c r="L183" s="2">
        <v>27330</v>
      </c>
      <c r="M183" s="2" t="s">
        <v>587</v>
      </c>
    </row>
    <row r="184" spans="1:13" ht="47.25" x14ac:dyDescent="0.25">
      <c r="A184" s="2" t="s">
        <v>577</v>
      </c>
      <c r="B184" s="7"/>
      <c r="C184" s="7"/>
      <c r="D184" s="2" t="s">
        <v>37</v>
      </c>
      <c r="E184" s="2" t="s">
        <v>17</v>
      </c>
      <c r="F184" s="3" t="str">
        <f>HYPERLINK("https://twitter.com/SanfordHerald","@SanfordHerald")</f>
        <v>@SanfordHerald</v>
      </c>
      <c r="G184" s="3" t="str">
        <f>HYPERLINK("mailto:news@sanfordherald.com","news@sanfordherald.com")</f>
        <v>news@sanfordherald.com</v>
      </c>
      <c r="H184" s="2" t="s">
        <v>580</v>
      </c>
      <c r="I184" s="2" t="s">
        <v>581</v>
      </c>
      <c r="J184" s="2" t="s">
        <v>574</v>
      </c>
      <c r="K184" s="2" t="s">
        <v>21</v>
      </c>
      <c r="L184" s="2">
        <v>27330</v>
      </c>
      <c r="M184" s="2" t="s">
        <v>588</v>
      </c>
    </row>
    <row r="185" spans="1:13" ht="63" x14ac:dyDescent="0.25">
      <c r="A185" s="2" t="s">
        <v>577</v>
      </c>
      <c r="B185" s="7"/>
      <c r="C185" s="7"/>
      <c r="D185" s="2" t="s">
        <v>38</v>
      </c>
      <c r="E185" s="2" t="s">
        <v>17</v>
      </c>
      <c r="F185" s="3" t="str">
        <f>HYPERLINK("https://twitter.com/SanfordHerald","@SanfordHerald")</f>
        <v>@SanfordHerald</v>
      </c>
      <c r="G185" s="3" t="str">
        <f>HYPERLINK("mailto:editor@sanfordherald.com","editor@sanfordherald.com")</f>
        <v>editor@sanfordherald.com</v>
      </c>
      <c r="H185" s="2" t="s">
        <v>580</v>
      </c>
      <c r="I185" s="2" t="s">
        <v>581</v>
      </c>
      <c r="J185" s="2" t="s">
        <v>574</v>
      </c>
      <c r="K185" s="2" t="s">
        <v>21</v>
      </c>
      <c r="L185" s="2">
        <v>27330</v>
      </c>
      <c r="M185" s="2" t="s">
        <v>588</v>
      </c>
    </row>
    <row r="186" spans="1:13" ht="63" x14ac:dyDescent="0.25">
      <c r="A186" s="2" t="s">
        <v>589</v>
      </c>
      <c r="B186" s="2" t="s">
        <v>488</v>
      </c>
      <c r="C186" s="2" t="s">
        <v>590</v>
      </c>
      <c r="D186" s="2" t="s">
        <v>16</v>
      </c>
      <c r="E186" s="2" t="s">
        <v>17</v>
      </c>
      <c r="F186" s="2"/>
      <c r="G186" s="3" t="str">
        <f>HYPERLINK("mailto:mike.distelhorst@newbernsj.com","mike.distelhorst@newbernsj.com")</f>
        <v>mike.distelhorst@newbernsj.com</v>
      </c>
      <c r="H186" s="2" t="s">
        <v>591</v>
      </c>
      <c r="I186" s="2" t="s">
        <v>592</v>
      </c>
      <c r="J186" s="2" t="s">
        <v>166</v>
      </c>
      <c r="K186" s="2" t="s">
        <v>21</v>
      </c>
      <c r="L186" s="2">
        <v>28501</v>
      </c>
      <c r="M186" s="2" t="s">
        <v>593</v>
      </c>
    </row>
    <row r="187" spans="1:13" ht="63" x14ac:dyDescent="0.25">
      <c r="A187" s="2" t="s">
        <v>589</v>
      </c>
      <c r="B187" s="2" t="s">
        <v>237</v>
      </c>
      <c r="C187" s="2" t="s">
        <v>238</v>
      </c>
      <c r="D187" s="2" t="s">
        <v>25</v>
      </c>
      <c r="E187" s="2" t="s">
        <v>17</v>
      </c>
      <c r="F187" s="3" t="str">
        <f>HYPERLINK("https://twitter.com/chrismsegal","@ChrisMSegal")</f>
        <v>@ChrisMSegal</v>
      </c>
      <c r="G187" s="3" t="str">
        <f>HYPERLINK("mailto:Chris.Segal@Kinston.com","Chris.Segal@Kinston.com")</f>
        <v>Chris.Segal@Kinston.com</v>
      </c>
      <c r="H187" s="2" t="s">
        <v>591</v>
      </c>
      <c r="I187" s="2" t="s">
        <v>592</v>
      </c>
      <c r="J187" s="2" t="s">
        <v>166</v>
      </c>
      <c r="K187" s="2" t="s">
        <v>21</v>
      </c>
      <c r="L187" s="2">
        <v>28501</v>
      </c>
      <c r="M187" s="5" t="s">
        <v>594</v>
      </c>
    </row>
    <row r="188" spans="1:13" ht="63" x14ac:dyDescent="0.25">
      <c r="A188" s="2" t="s">
        <v>589</v>
      </c>
      <c r="B188" s="2" t="s">
        <v>595</v>
      </c>
      <c r="C188" s="2" t="s">
        <v>596</v>
      </c>
      <c r="D188" s="2" t="s">
        <v>597</v>
      </c>
      <c r="E188" s="2" t="s">
        <v>17</v>
      </c>
      <c r="F188" s="3" t="str">
        <f>HYPERLINK("https://twitter.com/DustinGeorgeKFP","@DustinGeorgeKFP")</f>
        <v>@DustinGeorgeKFP</v>
      </c>
      <c r="G188" s="3" t="str">
        <f>HYPERLINK("mailto:dustin.george@kinston.com","dustin.george@kinston.com")</f>
        <v>dustin.george@kinston.com</v>
      </c>
      <c r="H188" s="2" t="s">
        <v>591</v>
      </c>
      <c r="I188" s="2" t="s">
        <v>592</v>
      </c>
      <c r="J188" s="2" t="s">
        <v>166</v>
      </c>
      <c r="K188" s="2" t="s">
        <v>21</v>
      </c>
      <c r="L188" s="2">
        <v>28501</v>
      </c>
      <c r="M188" s="5" t="s">
        <v>598</v>
      </c>
    </row>
    <row r="189" spans="1:13" ht="63" x14ac:dyDescent="0.25">
      <c r="A189" s="2" t="s">
        <v>589</v>
      </c>
      <c r="B189" s="7"/>
      <c r="C189" s="7"/>
      <c r="D189" s="2" t="s">
        <v>38</v>
      </c>
      <c r="E189" s="2" t="s">
        <v>17</v>
      </c>
      <c r="F189" s="3" t="str">
        <f>HYPERLINK("https://twitter.com/kinstonfp","@kinstonfp")</f>
        <v>@kinstonfp</v>
      </c>
      <c r="G189" s="3" t="str">
        <f>HYPERLINK("mailto:freepressnews@kinston.com","freepressnews@kinston.com")</f>
        <v>freepressnews@kinston.com</v>
      </c>
      <c r="H189" s="2" t="s">
        <v>591</v>
      </c>
      <c r="I189" s="2" t="s">
        <v>592</v>
      </c>
      <c r="J189" s="2" t="s">
        <v>166</v>
      </c>
      <c r="K189" s="2" t="s">
        <v>21</v>
      </c>
      <c r="L189" s="2">
        <v>28501</v>
      </c>
      <c r="M189" s="5" t="s">
        <v>594</v>
      </c>
    </row>
    <row r="190" spans="1:13" ht="63" x14ac:dyDescent="0.25">
      <c r="A190" s="2" t="s">
        <v>599</v>
      </c>
      <c r="B190" s="2" t="s">
        <v>119</v>
      </c>
      <c r="C190" s="2" t="s">
        <v>120</v>
      </c>
      <c r="D190" s="2" t="s">
        <v>16</v>
      </c>
      <c r="E190" s="2" t="s">
        <v>17</v>
      </c>
      <c r="F190" s="3" t="str">
        <f>HYPERLINK("https://twitter.com/LamarSmitherman","@LamarSmitherman")</f>
        <v>@LamarSmitherman</v>
      </c>
      <c r="G190" s="3" t="str">
        <f>HYPERLINK("mailto:osmitherman@morganton.com","osmitherman@morganton.com")</f>
        <v>osmitherman@morganton.com</v>
      </c>
      <c r="H190" s="2" t="s">
        <v>600</v>
      </c>
      <c r="I190" s="2" t="s">
        <v>601</v>
      </c>
      <c r="J190" s="2" t="s">
        <v>602</v>
      </c>
      <c r="K190" s="2" t="s">
        <v>21</v>
      </c>
      <c r="L190" s="2">
        <v>28752</v>
      </c>
      <c r="M190" s="2"/>
    </row>
    <row r="191" spans="1:13" ht="63" x14ac:dyDescent="0.25">
      <c r="A191" s="2" t="s">
        <v>599</v>
      </c>
      <c r="B191" s="2" t="s">
        <v>337</v>
      </c>
      <c r="C191" s="2" t="s">
        <v>603</v>
      </c>
      <c r="D191" s="2" t="s">
        <v>604</v>
      </c>
      <c r="E191" s="2" t="s">
        <v>17</v>
      </c>
      <c r="F191" s="2"/>
      <c r="G191" s="3" t="str">
        <f>HYPERLINK("mailto:rhollifield@mcdowellnews.com","rhollifield@mcdowellnews.com")</f>
        <v>rhollifield@mcdowellnews.com</v>
      </c>
      <c r="H191" s="2" t="s">
        <v>600</v>
      </c>
      <c r="I191" s="2" t="s">
        <v>601</v>
      </c>
      <c r="J191" s="2" t="s">
        <v>602</v>
      </c>
      <c r="K191" s="2" t="s">
        <v>21</v>
      </c>
      <c r="L191" s="2">
        <v>28752</v>
      </c>
      <c r="M191" s="2"/>
    </row>
    <row r="192" spans="1:13" ht="63" x14ac:dyDescent="0.25">
      <c r="A192" s="2" t="s">
        <v>599</v>
      </c>
      <c r="B192" s="2" t="s">
        <v>488</v>
      </c>
      <c r="C192" s="2" t="s">
        <v>605</v>
      </c>
      <c r="D192" s="2" t="s">
        <v>33</v>
      </c>
      <c r="E192" s="2" t="s">
        <v>17</v>
      </c>
      <c r="F192" s="2"/>
      <c r="G192" s="3" t="str">
        <f>HYPERLINK("mailto:nconley@mcdowellnews.com","nconley@mcdowellnews.com")</f>
        <v>nconley@mcdowellnews.com</v>
      </c>
      <c r="H192" s="2" t="s">
        <v>600</v>
      </c>
      <c r="I192" s="2" t="s">
        <v>601</v>
      </c>
      <c r="J192" s="2" t="s">
        <v>602</v>
      </c>
      <c r="K192" s="2" t="s">
        <v>21</v>
      </c>
      <c r="L192" s="2">
        <v>28752</v>
      </c>
      <c r="M192" s="2" t="s">
        <v>606</v>
      </c>
    </row>
    <row r="193" spans="1:13" ht="63" x14ac:dyDescent="0.25">
      <c r="A193" s="2" t="s">
        <v>599</v>
      </c>
      <c r="B193" s="7"/>
      <c r="C193" s="7"/>
      <c r="D193" s="2" t="s">
        <v>37</v>
      </c>
      <c r="E193" s="2" t="s">
        <v>17</v>
      </c>
      <c r="F193" s="3" t="str">
        <f>HYPERLINK("https://twitter.com/mcdowellnews","@mcdowellnews")</f>
        <v>@mcdowellnews</v>
      </c>
      <c r="G193" s="3" t="str">
        <f>HYPERLINK("mailto:news@mcdowellnews.com","news@mcdowellnews.com")</f>
        <v>news@mcdowellnews.com</v>
      </c>
      <c r="H193" s="2" t="s">
        <v>607</v>
      </c>
      <c r="I193" s="2" t="s">
        <v>601</v>
      </c>
      <c r="J193" s="2" t="s">
        <v>602</v>
      </c>
      <c r="K193" s="2" t="s">
        <v>21</v>
      </c>
      <c r="L193" s="2">
        <v>28752</v>
      </c>
      <c r="M193" s="2" t="s">
        <v>608</v>
      </c>
    </row>
    <row r="194" spans="1:13" ht="47.25" x14ac:dyDescent="0.25">
      <c r="A194" s="2" t="s">
        <v>599</v>
      </c>
      <c r="B194" s="7"/>
      <c r="C194" s="7"/>
      <c r="D194" s="2" t="s">
        <v>38</v>
      </c>
      <c r="E194" s="2" t="s">
        <v>17</v>
      </c>
      <c r="F194" s="3" t="str">
        <f>HYPERLINK("https://twitter.com/mcdowellnews","@mcdowellnews")</f>
        <v>@mcdowellnews</v>
      </c>
      <c r="G194" s="6" t="str">
        <f>HYPERLINK("https://mcdowellnews-dot-com.bloxcms-ny1.com/site/forms/online_services/letter/","https://mcdowellnews-dot-com.bloxcms-ny1.com/site/forms/online_services/letter/")</f>
        <v>https://mcdowellnews-dot-com.bloxcms-ny1.com/site/forms/online_services/letter/</v>
      </c>
      <c r="H194" s="2" t="s">
        <v>600</v>
      </c>
      <c r="I194" s="2" t="s">
        <v>601</v>
      </c>
      <c r="J194" s="2" t="s">
        <v>602</v>
      </c>
      <c r="K194" s="2" t="s">
        <v>21</v>
      </c>
      <c r="L194" s="2">
        <v>28752</v>
      </c>
      <c r="M194" s="2" t="s">
        <v>609</v>
      </c>
    </row>
    <row r="195" spans="1:13" ht="94.5" x14ac:dyDescent="0.25">
      <c r="A195" s="2" t="s">
        <v>610</v>
      </c>
      <c r="B195" s="2" t="s">
        <v>611</v>
      </c>
      <c r="C195" s="2" t="s">
        <v>612</v>
      </c>
      <c r="D195" s="2" t="s">
        <v>613</v>
      </c>
      <c r="E195" s="2" t="s">
        <v>614</v>
      </c>
      <c r="F195" s="10" t="s">
        <v>615</v>
      </c>
      <c r="G195" s="3" t="str">
        <f>HYPERLINK("mailto:mweiss@ap.org","mweiss@ap.org")</f>
        <v>mweiss@ap.org</v>
      </c>
      <c r="H195" s="2" t="s">
        <v>616</v>
      </c>
      <c r="I195" s="2" t="s">
        <v>617</v>
      </c>
      <c r="J195" s="2" t="s">
        <v>618</v>
      </c>
      <c r="K195" s="2" t="s">
        <v>21</v>
      </c>
      <c r="L195" s="2">
        <v>28203</v>
      </c>
      <c r="M195" s="2" t="s">
        <v>619</v>
      </c>
    </row>
    <row r="196" spans="1:13" ht="78.75" x14ac:dyDescent="0.25">
      <c r="A196" s="2" t="s">
        <v>620</v>
      </c>
      <c r="B196" s="2" t="s">
        <v>554</v>
      </c>
      <c r="C196" s="2" t="s">
        <v>540</v>
      </c>
      <c r="D196" s="2" t="s">
        <v>621</v>
      </c>
      <c r="E196" s="2" t="s">
        <v>100</v>
      </c>
      <c r="F196" s="6" t="str">
        <f>HYPERLINK("https://twitter.com/andrew_dunn","@andrew_dunn")</f>
        <v>@andrew_dunn</v>
      </c>
      <c r="G196" s="6" t="str">
        <f>HYPERLINK("mailto:andrew@charlotteagenda.com","andrew@charlotteagenda.com")</f>
        <v>andrew@charlotteagenda.com</v>
      </c>
      <c r="H196" s="2" t="s">
        <v>622</v>
      </c>
      <c r="I196" s="2" t="s">
        <v>617</v>
      </c>
      <c r="J196" s="2" t="s">
        <v>618</v>
      </c>
      <c r="K196" s="2" t="s">
        <v>21</v>
      </c>
      <c r="L196" s="2"/>
      <c r="M196" s="2"/>
    </row>
    <row r="197" spans="1:13" ht="78.75" x14ac:dyDescent="0.25">
      <c r="A197" s="2" t="s">
        <v>620</v>
      </c>
      <c r="B197" s="2" t="s">
        <v>49</v>
      </c>
      <c r="C197" s="2" t="s">
        <v>623</v>
      </c>
      <c r="D197" s="2" t="s">
        <v>624</v>
      </c>
      <c r="E197" s="2" t="s">
        <v>100</v>
      </c>
      <c r="F197" s="6" t="str">
        <f>HYPERLINK("https://twitter.com/katie_levans","@katie_levans")</f>
        <v>@katie_levans</v>
      </c>
      <c r="G197" s="6" t="s">
        <v>625</v>
      </c>
      <c r="H197" s="2" t="s">
        <v>622</v>
      </c>
      <c r="I197" s="2" t="s">
        <v>617</v>
      </c>
      <c r="J197" s="2" t="s">
        <v>618</v>
      </c>
      <c r="K197" s="2" t="s">
        <v>21</v>
      </c>
      <c r="L197" s="2"/>
      <c r="M197" s="2"/>
    </row>
    <row r="198" spans="1:13" ht="78.75" x14ac:dyDescent="0.25">
      <c r="A198" s="2" t="s">
        <v>620</v>
      </c>
      <c r="B198" s="2" t="s">
        <v>626</v>
      </c>
      <c r="C198" s="2" t="s">
        <v>627</v>
      </c>
      <c r="D198" s="2" t="s">
        <v>628</v>
      </c>
      <c r="E198" s="2" t="s">
        <v>100</v>
      </c>
      <c r="F198" s="2"/>
      <c r="G198" s="6" t="str">
        <f>HYPERLINK("mailto:kylie@charlotteagenda.com","kylie@charlotteagenda.com")</f>
        <v>kylie@charlotteagenda.com</v>
      </c>
      <c r="H198" s="2" t="s">
        <v>622</v>
      </c>
      <c r="I198" s="2" t="s">
        <v>617</v>
      </c>
      <c r="J198" s="2" t="s">
        <v>618</v>
      </c>
      <c r="K198" s="2" t="s">
        <v>21</v>
      </c>
      <c r="L198" s="2"/>
      <c r="M198" s="2"/>
    </row>
    <row r="199" spans="1:13" ht="78.75" x14ac:dyDescent="0.25">
      <c r="A199" s="2" t="s">
        <v>620</v>
      </c>
      <c r="B199" s="2" t="s">
        <v>629</v>
      </c>
      <c r="C199" s="2" t="s">
        <v>36</v>
      </c>
      <c r="D199" s="2" t="s">
        <v>630</v>
      </c>
      <c r="E199" s="2" t="s">
        <v>100</v>
      </c>
      <c r="F199" s="6" t="str">
        <f>HYPERLINK("https://twitter.com/ted_williams","@ted_williams")</f>
        <v>@ted_williams</v>
      </c>
      <c r="G199" s="6" t="str">
        <f>HYPERLINK("mailto:ted@charlotteagenda.com","ted@charlotteagenda.com")</f>
        <v>ted@charlotteagenda.com</v>
      </c>
      <c r="H199" s="2" t="s">
        <v>622</v>
      </c>
      <c r="I199" s="2" t="s">
        <v>617</v>
      </c>
      <c r="J199" s="2" t="s">
        <v>618</v>
      </c>
      <c r="K199" s="2" t="s">
        <v>21</v>
      </c>
      <c r="L199" s="2"/>
      <c r="M199" s="2"/>
    </row>
    <row r="200" spans="1:13" ht="63" x14ac:dyDescent="0.25">
      <c r="A200" s="2" t="s">
        <v>631</v>
      </c>
      <c r="B200" s="2" t="s">
        <v>632</v>
      </c>
      <c r="C200" s="2" t="s">
        <v>633</v>
      </c>
      <c r="D200" s="2" t="s">
        <v>16</v>
      </c>
      <c r="E200" s="2" t="s">
        <v>17</v>
      </c>
      <c r="F200" s="3" t="str">
        <f>HYPERLINK("https://twitter.com/CaulkinsAnn","@CaulkinsAnn")</f>
        <v>@CaulkinsAnn</v>
      </c>
      <c r="G200" s="6" t="str">
        <f>HYPERLINK("mailto:acaulkins@charlotteobserver.com","acaulkins@charlotteobserver.com")</f>
        <v>acaulkins@charlotteobserver.com</v>
      </c>
      <c r="H200" s="2" t="s">
        <v>634</v>
      </c>
      <c r="I200" s="2" t="s">
        <v>617</v>
      </c>
      <c r="J200" s="2" t="s">
        <v>618</v>
      </c>
      <c r="K200" s="2" t="s">
        <v>21</v>
      </c>
      <c r="L200" s="2">
        <v>28202</v>
      </c>
      <c r="M200" s="2" t="s">
        <v>635</v>
      </c>
    </row>
    <row r="201" spans="1:13" ht="78.75" x14ac:dyDescent="0.25">
      <c r="A201" s="2" t="s">
        <v>631</v>
      </c>
      <c r="B201" s="2" t="s">
        <v>636</v>
      </c>
      <c r="C201" s="2" t="s">
        <v>637</v>
      </c>
      <c r="D201" s="2" t="s">
        <v>25</v>
      </c>
      <c r="E201" s="2" t="s">
        <v>17</v>
      </c>
      <c r="F201" s="2" t="s">
        <v>638</v>
      </c>
      <c r="G201" s="3" t="str">
        <f>HYPERLINK("mailto:schisenhall@charlotteobserver.com","schisenhall@charlotteobserver.com")</f>
        <v>schisenhall@charlotteobserver.com</v>
      </c>
      <c r="H201" s="2" t="s">
        <v>634</v>
      </c>
      <c r="I201" s="2" t="s">
        <v>617</v>
      </c>
      <c r="J201" s="2" t="s">
        <v>618</v>
      </c>
      <c r="K201" s="2" t="s">
        <v>21</v>
      </c>
      <c r="L201" s="2">
        <v>28202</v>
      </c>
      <c r="M201" s="2" t="s">
        <v>635</v>
      </c>
    </row>
    <row r="202" spans="1:13" ht="63" x14ac:dyDescent="0.25">
      <c r="A202" s="2" t="s">
        <v>631</v>
      </c>
      <c r="B202" s="2" t="s">
        <v>116</v>
      </c>
      <c r="C202" s="2" t="s">
        <v>639</v>
      </c>
      <c r="D202" s="2" t="s">
        <v>270</v>
      </c>
      <c r="E202" s="2" t="s">
        <v>17</v>
      </c>
      <c r="F202" s="2" t="s">
        <v>640</v>
      </c>
      <c r="G202" s="3" t="str">
        <f>HYPERLINK("mailto:tbatten@charlotteobserver.com","tbatten@charlotteobserver.com")</f>
        <v>tbatten@charlotteobserver.com</v>
      </c>
      <c r="H202" s="2" t="s">
        <v>634</v>
      </c>
      <c r="I202" s="2" t="s">
        <v>617</v>
      </c>
      <c r="J202" s="2" t="s">
        <v>618</v>
      </c>
      <c r="K202" s="2" t="s">
        <v>21</v>
      </c>
      <c r="L202" s="2">
        <v>28202</v>
      </c>
      <c r="M202" s="2" t="s">
        <v>641</v>
      </c>
    </row>
    <row r="203" spans="1:13" ht="63" x14ac:dyDescent="0.25">
      <c r="A203" s="2" t="s">
        <v>631</v>
      </c>
      <c r="B203" s="2" t="s">
        <v>642</v>
      </c>
      <c r="C203" s="2" t="s">
        <v>643</v>
      </c>
      <c r="D203" s="2" t="s">
        <v>644</v>
      </c>
      <c r="E203" s="2" t="s">
        <v>17</v>
      </c>
      <c r="F203" s="2" t="s">
        <v>645</v>
      </c>
      <c r="G203" s="2" t="s">
        <v>646</v>
      </c>
      <c r="H203" s="2" t="s">
        <v>634</v>
      </c>
      <c r="I203" s="2" t="s">
        <v>617</v>
      </c>
      <c r="J203" s="2" t="s">
        <v>618</v>
      </c>
      <c r="K203" s="2" t="s">
        <v>21</v>
      </c>
      <c r="L203" s="2">
        <v>28202</v>
      </c>
      <c r="M203" s="2" t="s">
        <v>647</v>
      </c>
    </row>
    <row r="204" spans="1:13" ht="63" x14ac:dyDescent="0.25">
      <c r="A204" s="2" t="s">
        <v>631</v>
      </c>
      <c r="B204" s="2" t="s">
        <v>389</v>
      </c>
      <c r="C204" s="2" t="s">
        <v>648</v>
      </c>
      <c r="D204" s="2" t="s">
        <v>649</v>
      </c>
      <c r="E204" s="2" t="s">
        <v>17</v>
      </c>
      <c r="F204" s="2" t="s">
        <v>650</v>
      </c>
      <c r="G204" s="2" t="s">
        <v>651</v>
      </c>
      <c r="H204" s="2" t="s">
        <v>634</v>
      </c>
      <c r="I204" s="2" t="s">
        <v>617</v>
      </c>
      <c r="J204" s="2" t="s">
        <v>618</v>
      </c>
      <c r="K204" s="2" t="s">
        <v>21</v>
      </c>
      <c r="L204" s="2">
        <v>28202</v>
      </c>
      <c r="M204" s="2" t="s">
        <v>652</v>
      </c>
    </row>
    <row r="205" spans="1:13" ht="63" x14ac:dyDescent="0.25">
      <c r="A205" s="2" t="s">
        <v>631</v>
      </c>
      <c r="B205" s="2" t="s">
        <v>653</v>
      </c>
      <c r="C205" s="2" t="s">
        <v>654</v>
      </c>
      <c r="D205" s="2" t="s">
        <v>655</v>
      </c>
      <c r="E205" s="2" t="s">
        <v>17</v>
      </c>
      <c r="F205" s="6" t="str">
        <f>HYPERLINK("https://twitter.com/garyschwab","@garyschwab")</f>
        <v>@garyschwab</v>
      </c>
      <c r="G205" s="3" t="str">
        <f>HYPERLINK("mailto:gschwab@charlotteobserver.com","gschwab@charlotteobserver.com")</f>
        <v>gschwab@charlotteobserver.com</v>
      </c>
      <c r="H205" s="2" t="s">
        <v>634</v>
      </c>
      <c r="I205" s="2" t="s">
        <v>617</v>
      </c>
      <c r="J205" s="2" t="s">
        <v>618</v>
      </c>
      <c r="K205" s="2" t="s">
        <v>21</v>
      </c>
      <c r="L205" s="2">
        <v>28202</v>
      </c>
      <c r="M205" s="2" t="s">
        <v>656</v>
      </c>
    </row>
    <row r="206" spans="1:13" ht="94.5" x14ac:dyDescent="0.25">
      <c r="A206" s="2" t="s">
        <v>631</v>
      </c>
      <c r="B206" s="2" t="s">
        <v>657</v>
      </c>
      <c r="C206" s="2" t="s">
        <v>658</v>
      </c>
      <c r="D206" s="2" t="s">
        <v>659</v>
      </c>
      <c r="E206" s="2" t="s">
        <v>17</v>
      </c>
      <c r="F206" s="2" t="s">
        <v>660</v>
      </c>
      <c r="G206" s="3" t="str">
        <f>HYPERLINK("mailto:dmiller@charlotteobserver.com","dmiller@charlotteobserver.com")</f>
        <v>dmiller@charlotteobserver.com</v>
      </c>
      <c r="H206" s="2" t="s">
        <v>634</v>
      </c>
      <c r="I206" s="2" t="s">
        <v>617</v>
      </c>
      <c r="J206" s="2" t="s">
        <v>618</v>
      </c>
      <c r="K206" s="2" t="s">
        <v>21</v>
      </c>
      <c r="L206" s="2">
        <v>28202</v>
      </c>
      <c r="M206" s="2" t="s">
        <v>661</v>
      </c>
    </row>
    <row r="207" spans="1:13" ht="78.75" x14ac:dyDescent="0.25">
      <c r="A207" s="2" t="s">
        <v>631</v>
      </c>
      <c r="B207" s="2" t="s">
        <v>662</v>
      </c>
      <c r="C207" s="2" t="s">
        <v>663</v>
      </c>
      <c r="D207" s="2" t="s">
        <v>664</v>
      </c>
      <c r="E207" s="7" t="s">
        <v>17</v>
      </c>
      <c r="F207" s="3" t="str">
        <f>HYPERLINK("https://twitter.com/ronnieglassberg","@ronnieglassberg")</f>
        <v>@ronnieglassberg</v>
      </c>
      <c r="G207" s="11" t="str">
        <f>HYPERLINK("mailto:rglassberg@charlotteobserver.com","rglassberg@charlotteobserver.com")</f>
        <v>rglassberg@charlotteobserver.com</v>
      </c>
      <c r="H207" s="2" t="s">
        <v>634</v>
      </c>
      <c r="I207" s="7" t="s">
        <v>617</v>
      </c>
      <c r="J207" s="7" t="s">
        <v>618</v>
      </c>
      <c r="K207" s="7" t="s">
        <v>21</v>
      </c>
      <c r="L207" s="7">
        <v>28202</v>
      </c>
      <c r="M207" s="7" t="s">
        <v>665</v>
      </c>
    </row>
    <row r="208" spans="1:13" ht="78.75" x14ac:dyDescent="0.25">
      <c r="A208" s="2" t="s">
        <v>631</v>
      </c>
      <c r="B208" s="2" t="s">
        <v>666</v>
      </c>
      <c r="C208" s="2" t="s">
        <v>667</v>
      </c>
      <c r="D208" s="2" t="s">
        <v>668</v>
      </c>
      <c r="E208" s="2" t="s">
        <v>17</v>
      </c>
      <c r="F208" s="2" t="s">
        <v>669</v>
      </c>
      <c r="G208" s="3" t="str">
        <f>HYPERLINK("mailto:abell@charlotteobserver.com","abell@charlotteobserver.com")</f>
        <v>abell@charlotteobserver.com</v>
      </c>
      <c r="H208" s="2" t="s">
        <v>634</v>
      </c>
      <c r="I208" s="2" t="s">
        <v>147</v>
      </c>
      <c r="J208" s="2" t="s">
        <v>618</v>
      </c>
      <c r="K208" s="2" t="s">
        <v>21</v>
      </c>
      <c r="L208" s="2">
        <v>28027</v>
      </c>
      <c r="M208" s="2" t="s">
        <v>670</v>
      </c>
    </row>
    <row r="209" spans="1:13" ht="63" x14ac:dyDescent="0.25">
      <c r="A209" s="2" t="s">
        <v>631</v>
      </c>
      <c r="B209" s="2" t="s">
        <v>104</v>
      </c>
      <c r="C209" s="2" t="s">
        <v>671</v>
      </c>
      <c r="D209" s="2" t="s">
        <v>417</v>
      </c>
      <c r="E209" s="2" t="s">
        <v>17</v>
      </c>
      <c r="F209" s="2" t="s">
        <v>672</v>
      </c>
      <c r="G209" s="3" t="str">
        <f>HYPERLINK("mailto:mgordon@charlotteobserver.com","mgordon@charlotteobserver.com")</f>
        <v>mgordon@charlotteobserver.com</v>
      </c>
      <c r="H209" s="2" t="s">
        <v>634</v>
      </c>
      <c r="I209" s="2" t="s">
        <v>617</v>
      </c>
      <c r="J209" s="2" t="s">
        <v>618</v>
      </c>
      <c r="K209" s="2" t="s">
        <v>21</v>
      </c>
      <c r="L209" s="2">
        <v>28202</v>
      </c>
      <c r="M209" s="2" t="s">
        <v>673</v>
      </c>
    </row>
    <row r="210" spans="1:13" ht="78.75" x14ac:dyDescent="0.25">
      <c r="A210" s="2" t="s">
        <v>631</v>
      </c>
      <c r="B210" s="2" t="s">
        <v>304</v>
      </c>
      <c r="C210" s="2" t="s">
        <v>674</v>
      </c>
      <c r="D210" s="2" t="s">
        <v>675</v>
      </c>
      <c r="E210" s="2" t="s">
        <v>17</v>
      </c>
      <c r="F210" s="3" t="str">
        <f>HYPERLINK("https://twitter.com/Sharrison_Obs","@Sharrison_Obs")</f>
        <v>@Sharrison_Obs</v>
      </c>
      <c r="G210" s="2" t="s">
        <v>676</v>
      </c>
      <c r="H210" s="2" t="s">
        <v>634</v>
      </c>
      <c r="I210" s="2" t="s">
        <v>617</v>
      </c>
      <c r="J210" s="2" t="s">
        <v>618</v>
      </c>
      <c r="K210" s="2" t="s">
        <v>21</v>
      </c>
      <c r="L210" s="2">
        <v>28202</v>
      </c>
      <c r="M210" s="2" t="s">
        <v>677</v>
      </c>
    </row>
    <row r="211" spans="1:13" ht="63" x14ac:dyDescent="0.25">
      <c r="A211" s="2" t="s">
        <v>631</v>
      </c>
      <c r="B211" s="2" t="s">
        <v>57</v>
      </c>
      <c r="C211" s="2" t="s">
        <v>550</v>
      </c>
      <c r="D211" s="2" t="s">
        <v>678</v>
      </c>
      <c r="E211" s="2" t="s">
        <v>17</v>
      </c>
      <c r="F211" s="2" t="s">
        <v>679</v>
      </c>
      <c r="G211" s="2" t="s">
        <v>680</v>
      </c>
      <c r="H211" s="2" t="s">
        <v>634</v>
      </c>
      <c r="I211" s="2" t="s">
        <v>617</v>
      </c>
      <c r="J211" s="2" t="s">
        <v>618</v>
      </c>
      <c r="K211" s="2" t="s">
        <v>21</v>
      </c>
      <c r="L211" s="2">
        <v>28202</v>
      </c>
      <c r="M211" s="2" t="s">
        <v>681</v>
      </c>
    </row>
    <row r="212" spans="1:13" ht="78.75" x14ac:dyDescent="0.25">
      <c r="A212" s="2" t="s">
        <v>631</v>
      </c>
      <c r="B212" s="2" t="s">
        <v>682</v>
      </c>
      <c r="C212" s="2" t="s">
        <v>683</v>
      </c>
      <c r="D212" s="2" t="s">
        <v>684</v>
      </c>
      <c r="E212" s="2" t="s">
        <v>17</v>
      </c>
      <c r="F212" s="6" t="str">
        <f>HYPERLINK("https://twitter.com/WashburnChObs","@WashburnChObs")</f>
        <v>@WashburnChObs</v>
      </c>
      <c r="G212" s="3" t="str">
        <f>HYPERLINK("mailto:mwashburn@charlotteobserver.com","mwashburn@charlotteobserver.com")</f>
        <v>mwashburn@charlotteobserver.com</v>
      </c>
      <c r="H212" s="2" t="s">
        <v>634</v>
      </c>
      <c r="I212" s="2" t="s">
        <v>617</v>
      </c>
      <c r="J212" s="2" t="s">
        <v>618</v>
      </c>
      <c r="K212" s="2" t="s">
        <v>21</v>
      </c>
      <c r="L212" s="2">
        <v>28202</v>
      </c>
      <c r="M212" s="2" t="s">
        <v>685</v>
      </c>
    </row>
    <row r="213" spans="1:13" ht="63" x14ac:dyDescent="0.25">
      <c r="A213" s="2" t="s">
        <v>631</v>
      </c>
      <c r="B213" s="2" t="s">
        <v>458</v>
      </c>
      <c r="C213" s="2" t="s">
        <v>686</v>
      </c>
      <c r="D213" s="2" t="s">
        <v>687</v>
      </c>
      <c r="E213" s="2" t="s">
        <v>17</v>
      </c>
      <c r="F213" s="2" t="s">
        <v>688</v>
      </c>
      <c r="G213" s="3" t="str">
        <f>HYPERLINK("mailto:jmarusak@charlotteobserver.com","jmarusak@charlotteobserver.com")</f>
        <v>jmarusak@charlotteobserver.com</v>
      </c>
      <c r="H213" s="2" t="s">
        <v>634</v>
      </c>
      <c r="I213" s="2" t="s">
        <v>617</v>
      </c>
      <c r="J213" s="2" t="s">
        <v>618</v>
      </c>
      <c r="K213" s="2" t="s">
        <v>21</v>
      </c>
      <c r="L213" s="2">
        <v>28202</v>
      </c>
      <c r="M213" s="2" t="s">
        <v>689</v>
      </c>
    </row>
    <row r="214" spans="1:13" ht="63" x14ac:dyDescent="0.25">
      <c r="A214" s="2" t="s">
        <v>631</v>
      </c>
      <c r="B214" s="2" t="s">
        <v>690</v>
      </c>
      <c r="C214" s="2" t="s">
        <v>691</v>
      </c>
      <c r="D214" s="2" t="s">
        <v>692</v>
      </c>
      <c r="E214" s="2" t="s">
        <v>17</v>
      </c>
      <c r="F214" s="2" t="s">
        <v>693</v>
      </c>
      <c r="G214" s="2" t="s">
        <v>694</v>
      </c>
      <c r="H214" s="2" t="s">
        <v>634</v>
      </c>
      <c r="I214" s="2" t="s">
        <v>617</v>
      </c>
      <c r="J214" s="2" t="s">
        <v>618</v>
      </c>
      <c r="K214" s="2" t="s">
        <v>21</v>
      </c>
      <c r="L214" s="2">
        <v>28202</v>
      </c>
      <c r="M214" s="2" t="s">
        <v>695</v>
      </c>
    </row>
    <row r="215" spans="1:13" ht="63" x14ac:dyDescent="0.25">
      <c r="A215" s="2" t="s">
        <v>631</v>
      </c>
      <c r="B215" s="2" t="s">
        <v>67</v>
      </c>
      <c r="C215" s="2" t="s">
        <v>696</v>
      </c>
      <c r="D215" s="2" t="s">
        <v>697</v>
      </c>
      <c r="E215" s="2" t="s">
        <v>17</v>
      </c>
      <c r="F215" s="3" t="str">
        <f>HYPERLINK("https://twitter.com/markprice_obs","@markprice_obs")</f>
        <v>@markprice_obs</v>
      </c>
      <c r="G215" s="2" t="s">
        <v>698</v>
      </c>
      <c r="H215" s="2" t="s">
        <v>634</v>
      </c>
      <c r="I215" s="2" t="s">
        <v>617</v>
      </c>
      <c r="J215" s="2" t="s">
        <v>618</v>
      </c>
      <c r="K215" s="2" t="s">
        <v>21</v>
      </c>
      <c r="L215" s="2">
        <v>28202</v>
      </c>
      <c r="M215" s="2" t="s">
        <v>699</v>
      </c>
    </row>
    <row r="216" spans="1:13" ht="63" x14ac:dyDescent="0.25">
      <c r="A216" s="2" t="s">
        <v>631</v>
      </c>
      <c r="B216" s="2" t="s">
        <v>700</v>
      </c>
      <c r="C216" s="2" t="s">
        <v>701</v>
      </c>
      <c r="D216" s="2" t="s">
        <v>384</v>
      </c>
      <c r="E216" s="2" t="s">
        <v>17</v>
      </c>
      <c r="F216" s="3" t="str">
        <f>HYPERLINK("https://twitter.com/anndosshelms","@anndosshelms")</f>
        <v>@anndosshelms</v>
      </c>
      <c r="G216" s="3" t="str">
        <f>HYPERLINK("mailto:ahelms@charlotteobserver.com","ahelms@charlotteobserver.com")</f>
        <v>ahelms@charlotteobserver.com</v>
      </c>
      <c r="H216" s="2" t="s">
        <v>634</v>
      </c>
      <c r="I216" s="2" t="s">
        <v>617</v>
      </c>
      <c r="J216" s="2" t="s">
        <v>618</v>
      </c>
      <c r="K216" s="2" t="s">
        <v>21</v>
      </c>
      <c r="L216" s="2">
        <v>28202</v>
      </c>
      <c r="M216" s="2" t="s">
        <v>702</v>
      </c>
    </row>
    <row r="217" spans="1:13" ht="63" x14ac:dyDescent="0.25">
      <c r="A217" s="2" t="s">
        <v>631</v>
      </c>
      <c r="B217" s="2" t="s">
        <v>703</v>
      </c>
      <c r="C217" s="2" t="s">
        <v>704</v>
      </c>
      <c r="D217" s="2" t="s">
        <v>705</v>
      </c>
      <c r="E217" s="2" t="s">
        <v>17</v>
      </c>
      <c r="F217" s="3" t="s">
        <v>177</v>
      </c>
      <c r="G217" s="4" t="s">
        <v>706</v>
      </c>
      <c r="H217" s="2" t="s">
        <v>634</v>
      </c>
      <c r="I217" s="2" t="s">
        <v>617</v>
      </c>
      <c r="J217" s="2" t="s">
        <v>618</v>
      </c>
      <c r="K217" s="2" t="s">
        <v>21</v>
      </c>
      <c r="L217" s="2">
        <v>28202</v>
      </c>
      <c r="M217" s="2" t="s">
        <v>685</v>
      </c>
    </row>
    <row r="218" spans="1:13" ht="94.5" x14ac:dyDescent="0.25">
      <c r="A218" s="2" t="s">
        <v>631</v>
      </c>
      <c r="B218" s="2" t="s">
        <v>657</v>
      </c>
      <c r="C218" s="2" t="s">
        <v>658</v>
      </c>
      <c r="D218" s="2" t="s">
        <v>707</v>
      </c>
      <c r="E218" s="2" t="s">
        <v>17</v>
      </c>
      <c r="F218" s="3" t="str">
        <f>HYPERLINK("https://twitter.com/DougObserver","@DougObserver")</f>
        <v>@DougObserver</v>
      </c>
      <c r="G218" s="3" t="str">
        <f>HYPERLINK("mailto:dmiller@charlotteobserver.com","dmiller@charlotteobserver.com")</f>
        <v>dmiller@charlotteobserver.com</v>
      </c>
      <c r="H218" s="2" t="s">
        <v>634</v>
      </c>
      <c r="I218" s="2" t="s">
        <v>708</v>
      </c>
      <c r="J218" s="2" t="s">
        <v>618</v>
      </c>
      <c r="K218" s="2" t="s">
        <v>21</v>
      </c>
      <c r="L218" s="2">
        <v>28202</v>
      </c>
      <c r="M218" s="2" t="s">
        <v>661</v>
      </c>
    </row>
    <row r="219" spans="1:13" ht="63" x14ac:dyDescent="0.25">
      <c r="A219" s="2" t="s">
        <v>631</v>
      </c>
      <c r="B219" s="2" t="s">
        <v>709</v>
      </c>
      <c r="C219" s="2" t="s">
        <v>710</v>
      </c>
      <c r="D219" s="2" t="s">
        <v>711</v>
      </c>
      <c r="E219" s="2" t="s">
        <v>17</v>
      </c>
      <c r="F219" s="3" t="str">
        <f>HYPERLINK("https://twitter.com/FrederickClasen","@FrederickClasen")</f>
        <v>@FrederickClasen</v>
      </c>
      <c r="G219" s="3" t="str">
        <f>HYPERLINK("mailto:frkelly@charlotteobserver.com","frkelly@charlotteobserver.com")</f>
        <v>frkelly@charlotteobserver.com</v>
      </c>
      <c r="H219" s="2" t="s">
        <v>634</v>
      </c>
      <c r="I219" s="2" t="s">
        <v>617</v>
      </c>
      <c r="J219" s="2" t="s">
        <v>618</v>
      </c>
      <c r="K219" s="2" t="s">
        <v>21</v>
      </c>
      <c r="L219" s="2">
        <v>28202</v>
      </c>
      <c r="M219" s="2" t="s">
        <v>712</v>
      </c>
    </row>
    <row r="220" spans="1:13" ht="63" x14ac:dyDescent="0.25">
      <c r="A220" s="2" t="s">
        <v>631</v>
      </c>
      <c r="B220" s="2" t="s">
        <v>713</v>
      </c>
      <c r="C220" s="2" t="s">
        <v>714</v>
      </c>
      <c r="D220" s="2" t="s">
        <v>715</v>
      </c>
      <c r="E220" s="2" t="s">
        <v>17</v>
      </c>
      <c r="F220" s="2"/>
      <c r="G220" s="3" t="str">
        <f>HYPERLINK("mailto:goff@charlotteobserver.com","goff@charlotteobserver.com")</f>
        <v>goff@charlotteobserver.com</v>
      </c>
      <c r="H220" s="2" t="s">
        <v>634</v>
      </c>
      <c r="I220" s="2" t="s">
        <v>617</v>
      </c>
      <c r="J220" s="2" t="s">
        <v>618</v>
      </c>
      <c r="K220" s="2" t="s">
        <v>21</v>
      </c>
      <c r="L220" s="2">
        <v>28202</v>
      </c>
      <c r="M220" s="2" t="s">
        <v>716</v>
      </c>
    </row>
    <row r="221" spans="1:13" ht="78.75" x14ac:dyDescent="0.25">
      <c r="A221" s="2" t="s">
        <v>631</v>
      </c>
      <c r="B221" s="2" t="s">
        <v>717</v>
      </c>
      <c r="C221" s="2" t="s">
        <v>718</v>
      </c>
      <c r="D221" s="2" t="s">
        <v>715</v>
      </c>
      <c r="E221" s="2" t="s">
        <v>17</v>
      </c>
      <c r="F221" s="2" t="s">
        <v>719</v>
      </c>
      <c r="G221" s="2" t="s">
        <v>720</v>
      </c>
      <c r="H221" s="2" t="s">
        <v>634</v>
      </c>
      <c r="I221" s="2" t="s">
        <v>617</v>
      </c>
      <c r="J221" s="2" t="s">
        <v>618</v>
      </c>
      <c r="K221" s="2" t="s">
        <v>21</v>
      </c>
      <c r="L221" s="2">
        <v>28202</v>
      </c>
      <c r="M221" s="2" t="s">
        <v>721</v>
      </c>
    </row>
    <row r="222" spans="1:13" ht="63" x14ac:dyDescent="0.25">
      <c r="A222" s="2" t="s">
        <v>631</v>
      </c>
      <c r="B222" s="2" t="s">
        <v>722</v>
      </c>
      <c r="C222" s="2" t="s">
        <v>723</v>
      </c>
      <c r="D222" s="2" t="s">
        <v>724</v>
      </c>
      <c r="E222" s="2" t="s">
        <v>17</v>
      </c>
      <c r="F222" s="5" t="s">
        <v>725</v>
      </c>
      <c r="G222" s="6" t="str">
        <f>HYPERLINK("mailto:fordonez@mcclatchydc.com","fordonez@mcclatchydc.com")</f>
        <v>fordonez@mcclatchydc.com</v>
      </c>
      <c r="H222" s="2" t="s">
        <v>634</v>
      </c>
      <c r="I222" s="2" t="s">
        <v>617</v>
      </c>
      <c r="J222" s="2" t="s">
        <v>618</v>
      </c>
      <c r="K222" s="2" t="s">
        <v>21</v>
      </c>
      <c r="L222" s="2">
        <v>28202</v>
      </c>
      <c r="M222" s="2" t="s">
        <v>726</v>
      </c>
    </row>
    <row r="223" spans="1:13" ht="78.75" x14ac:dyDescent="0.25">
      <c r="A223" s="2" t="s">
        <v>631</v>
      </c>
      <c r="B223" s="2" t="s">
        <v>727</v>
      </c>
      <c r="C223" s="2" t="s">
        <v>728</v>
      </c>
      <c r="D223" s="2" t="s">
        <v>729</v>
      </c>
      <c r="E223" s="2" t="s">
        <v>17</v>
      </c>
      <c r="F223" s="3" t="str">
        <f>HYPERLINK("https://twitter.com/rickrothacker","@rickrothacker")</f>
        <v>@rickrothacker</v>
      </c>
      <c r="G223" s="3" t="str">
        <f>HYPERLINK("mailto:rrothacker@charlotteobserver.com","rrothacker@charlotteobserver.com")</f>
        <v>rrothacker@charlotteobserver.com</v>
      </c>
      <c r="H223" s="2" t="s">
        <v>634</v>
      </c>
      <c r="I223" s="2" t="s">
        <v>617</v>
      </c>
      <c r="J223" s="2" t="s">
        <v>618</v>
      </c>
      <c r="K223" s="2" t="s">
        <v>21</v>
      </c>
      <c r="L223" s="2">
        <v>28202</v>
      </c>
      <c r="M223" s="2" t="s">
        <v>730</v>
      </c>
    </row>
    <row r="224" spans="1:13" ht="94.5" x14ac:dyDescent="0.25">
      <c r="A224" s="2" t="s">
        <v>631</v>
      </c>
      <c r="B224" s="2" t="s">
        <v>731</v>
      </c>
      <c r="C224" s="2" t="s">
        <v>732</v>
      </c>
      <c r="D224" s="2" t="s">
        <v>733</v>
      </c>
      <c r="E224" s="2" t="s">
        <v>17</v>
      </c>
      <c r="F224" s="3" t="str">
        <f>HYPERLINK("https://twitter.com/ESPortillo","@ESPortillo")</f>
        <v>@ESPortillo</v>
      </c>
      <c r="G224" s="3" t="str">
        <f>HYPERLINK("mailto:elyportillo@charlotteobserver.com","elyportillo@charlotteobserver.com")</f>
        <v>elyportillo@charlotteobserver.com</v>
      </c>
      <c r="H224" s="2" t="s">
        <v>634</v>
      </c>
      <c r="I224" s="2" t="s">
        <v>617</v>
      </c>
      <c r="J224" s="2" t="s">
        <v>618</v>
      </c>
      <c r="K224" s="2" t="s">
        <v>21</v>
      </c>
      <c r="L224" s="2">
        <v>28202</v>
      </c>
      <c r="M224" s="2" t="s">
        <v>734</v>
      </c>
    </row>
    <row r="225" spans="1:13" ht="63" x14ac:dyDescent="0.25">
      <c r="A225" s="2" t="s">
        <v>631</v>
      </c>
      <c r="B225" s="2" t="s">
        <v>735</v>
      </c>
      <c r="C225" s="2" t="s">
        <v>736</v>
      </c>
      <c r="D225" s="2" t="s">
        <v>737</v>
      </c>
      <c r="E225" s="2" t="s">
        <v>17</v>
      </c>
      <c r="F225" s="3" t="str">
        <f>HYPERLINK("https://twitter.com/DeonERoberts","@DeonERoberts")</f>
        <v>@DeonERoberts</v>
      </c>
      <c r="G225" s="3" t="str">
        <f>HYPERLINK("mailto:deroberts@charlotteobserver.com","deroberts@charlotteobserver.com")</f>
        <v>deroberts@charlotteobserver.com</v>
      </c>
      <c r="H225" s="2" t="s">
        <v>634</v>
      </c>
      <c r="I225" s="2" t="s">
        <v>617</v>
      </c>
      <c r="J225" s="2" t="s">
        <v>618</v>
      </c>
      <c r="K225" s="2" t="s">
        <v>21</v>
      </c>
      <c r="L225" s="2">
        <v>28202</v>
      </c>
      <c r="M225" s="2" t="s">
        <v>738</v>
      </c>
    </row>
    <row r="226" spans="1:13" ht="78.75" x14ac:dyDescent="0.25">
      <c r="A226" s="2" t="s">
        <v>631</v>
      </c>
      <c r="B226" s="2" t="s">
        <v>49</v>
      </c>
      <c r="C226" s="2" t="s">
        <v>739</v>
      </c>
      <c r="D226" s="2" t="s">
        <v>740</v>
      </c>
      <c r="E226" s="2" t="s">
        <v>17</v>
      </c>
      <c r="F226" s="3" t="str">
        <f>HYPERLINK("https://twitter.com/katieperalta","@katieperalta")</f>
        <v>@katieperalta</v>
      </c>
      <c r="G226" s="3" t="str">
        <f>HYPERLINK("mailto:kperalta@charlotteobserver.com","kperalta@charlotteobserver.com")</f>
        <v>kperalta@charlotteobserver.com</v>
      </c>
      <c r="H226" s="2" t="s">
        <v>634</v>
      </c>
      <c r="I226" s="2" t="s">
        <v>617</v>
      </c>
      <c r="J226" s="2" t="s">
        <v>618</v>
      </c>
      <c r="K226" s="2" t="s">
        <v>21</v>
      </c>
      <c r="L226" s="2">
        <v>28202</v>
      </c>
      <c r="M226" s="2" t="s">
        <v>741</v>
      </c>
    </row>
    <row r="227" spans="1:13" ht="63" x14ac:dyDescent="0.25">
      <c r="A227" s="2" t="s">
        <v>631</v>
      </c>
      <c r="B227" s="2" t="s">
        <v>177</v>
      </c>
      <c r="C227" s="2" t="s">
        <v>177</v>
      </c>
      <c r="D227" s="2" t="s">
        <v>742</v>
      </c>
      <c r="E227" s="2" t="s">
        <v>17</v>
      </c>
      <c r="F227" s="3" t="str">
        <f>HYPERLINK("https://twitter.com/DannyePowell","@DannyePowell")</f>
        <v>@DannyePowell</v>
      </c>
      <c r="G227" s="2" t="s">
        <v>743</v>
      </c>
      <c r="H227" s="2" t="s">
        <v>634</v>
      </c>
      <c r="I227" s="2" t="s">
        <v>617</v>
      </c>
      <c r="J227" s="2" t="s">
        <v>618</v>
      </c>
      <c r="K227" s="2" t="s">
        <v>21</v>
      </c>
      <c r="L227" s="2">
        <v>28202</v>
      </c>
      <c r="M227" s="2" t="s">
        <v>744</v>
      </c>
    </row>
    <row r="228" spans="1:13" ht="63" x14ac:dyDescent="0.25">
      <c r="A228" s="2" t="s">
        <v>631</v>
      </c>
      <c r="B228" s="2" t="s">
        <v>745</v>
      </c>
      <c r="C228" s="2" t="s">
        <v>746</v>
      </c>
      <c r="D228" s="2" t="s">
        <v>747</v>
      </c>
      <c r="E228" s="2" t="s">
        <v>17</v>
      </c>
      <c r="F228" s="3" t="str">
        <f>HYPERLINK("https://twitter.com/kathleenpurvis","@kathleenpurvis")</f>
        <v>@kathleenpurvis</v>
      </c>
      <c r="G228" s="3" t="str">
        <f>HYPERLINK("mailto:kpurvis@charlotteobserver.com","kpurvis@charlotteobserver.com")</f>
        <v>kpurvis@charlotteobserver.com</v>
      </c>
      <c r="H228" s="2" t="s">
        <v>634</v>
      </c>
      <c r="I228" s="2" t="s">
        <v>617</v>
      </c>
      <c r="J228" s="2" t="s">
        <v>618</v>
      </c>
      <c r="K228" s="2" t="s">
        <v>21</v>
      </c>
      <c r="L228" s="2">
        <v>28202</v>
      </c>
      <c r="M228" s="2" t="s">
        <v>748</v>
      </c>
    </row>
    <row r="229" spans="1:13" ht="63" x14ac:dyDescent="0.25">
      <c r="A229" s="2" t="s">
        <v>631</v>
      </c>
      <c r="B229" s="2" t="s">
        <v>179</v>
      </c>
      <c r="C229" s="2" t="s">
        <v>749</v>
      </c>
      <c r="D229" s="2" t="s">
        <v>499</v>
      </c>
      <c r="E229" s="2" t="s">
        <v>17</v>
      </c>
      <c r="F229" s="3" t="str">
        <f>HYPERLINK("https://twitter.com/timfunk","@timfunk")</f>
        <v>@timfunk</v>
      </c>
      <c r="G229" s="3" t="str">
        <f>HYPERLINK("mailto:tfunk@charlotteobserver.com","tfunk@charlotteobserver.com")</f>
        <v>tfunk@charlotteobserver.com</v>
      </c>
      <c r="H229" s="2" t="s">
        <v>634</v>
      </c>
      <c r="I229" s="2" t="s">
        <v>617</v>
      </c>
      <c r="J229" s="2" t="s">
        <v>618</v>
      </c>
      <c r="K229" s="2" t="s">
        <v>21</v>
      </c>
      <c r="L229" s="2">
        <v>28202</v>
      </c>
      <c r="M229" s="2" t="s">
        <v>750</v>
      </c>
    </row>
    <row r="230" spans="1:13" ht="63" x14ac:dyDescent="0.25">
      <c r="A230" s="2" t="s">
        <v>631</v>
      </c>
      <c r="B230" s="2" t="s">
        <v>751</v>
      </c>
      <c r="C230" s="2" t="s">
        <v>752</v>
      </c>
      <c r="D230" s="2" t="s">
        <v>753</v>
      </c>
      <c r="E230" s="2" t="s">
        <v>17</v>
      </c>
      <c r="F230" s="3" t="str">
        <f>HYPERLINK("https://twitter.com/CristinaBolling","@CristinaBolling")</f>
        <v>@CristinaBolling</v>
      </c>
      <c r="G230" s="3" t="str">
        <f>HYPERLINK("mailto:cbolling@charlotteobserver.com","cbolling@charlotteobserver.com")</f>
        <v>cbolling@charlotteobserver.com</v>
      </c>
      <c r="H230" s="2" t="s">
        <v>634</v>
      </c>
      <c r="I230" s="2" t="s">
        <v>617</v>
      </c>
      <c r="J230" s="2" t="s">
        <v>618</v>
      </c>
      <c r="K230" s="2" t="s">
        <v>21</v>
      </c>
      <c r="L230" s="2">
        <v>28202</v>
      </c>
      <c r="M230" s="2" t="s">
        <v>754</v>
      </c>
    </row>
    <row r="231" spans="1:13" ht="63" x14ac:dyDescent="0.25">
      <c r="A231" s="2" t="s">
        <v>631</v>
      </c>
      <c r="B231" s="2" t="s">
        <v>755</v>
      </c>
      <c r="C231" s="2" t="s">
        <v>756</v>
      </c>
      <c r="D231" s="2" t="s">
        <v>757</v>
      </c>
      <c r="E231" s="2" t="s">
        <v>17</v>
      </c>
      <c r="F231" s="3" t="str">
        <f>HYPERLINK("https://twitter.com/theodenjanes","@theodenjanes")</f>
        <v>@theodenjanes</v>
      </c>
      <c r="G231" s="3" t="str">
        <f>HYPERLINK("mailto:tjanes@charlotteobserver.com","tjanes@charlotteobserver.com")</f>
        <v>tjanes@charlotteobserver.com</v>
      </c>
      <c r="H231" s="2" t="s">
        <v>634</v>
      </c>
      <c r="I231" s="2" t="s">
        <v>617</v>
      </c>
      <c r="J231" s="2" t="s">
        <v>618</v>
      </c>
      <c r="K231" s="2" t="s">
        <v>21</v>
      </c>
      <c r="L231" s="2">
        <v>28202</v>
      </c>
      <c r="M231" s="2" t="s">
        <v>758</v>
      </c>
    </row>
    <row r="232" spans="1:13" ht="78.75" x14ac:dyDescent="0.25">
      <c r="A232" s="2" t="s">
        <v>631</v>
      </c>
      <c r="B232" s="2" t="s">
        <v>759</v>
      </c>
      <c r="C232" s="2" t="s">
        <v>760</v>
      </c>
      <c r="D232" s="2" t="s">
        <v>761</v>
      </c>
      <c r="E232" s="2" t="s">
        <v>17</v>
      </c>
      <c r="F232" s="2"/>
      <c r="G232" s="3" t="str">
        <f>HYPERLINK("mailto:charrington@charlotteobserver.com","charrington@charlotteobserver.com")</f>
        <v>charrington@charlotteobserver.com</v>
      </c>
      <c r="H232" s="2" t="s">
        <v>634</v>
      </c>
      <c r="I232" s="2" t="s">
        <v>617</v>
      </c>
      <c r="J232" s="2" t="s">
        <v>618</v>
      </c>
      <c r="K232" s="2" t="s">
        <v>21</v>
      </c>
      <c r="L232" s="2">
        <v>28202</v>
      </c>
      <c r="M232" s="2" t="s">
        <v>762</v>
      </c>
    </row>
    <row r="233" spans="1:13" ht="63" x14ac:dyDescent="0.25">
      <c r="A233" s="2" t="s">
        <v>631</v>
      </c>
      <c r="B233" s="7"/>
      <c r="C233" s="7"/>
      <c r="D233" s="2" t="s">
        <v>37</v>
      </c>
      <c r="E233" s="2" t="s">
        <v>17</v>
      </c>
      <c r="F233" s="3" t="str">
        <f>HYPERLINK("https://twitter.com/theobserver","@theobserver")</f>
        <v>@theobserver</v>
      </c>
      <c r="G233" s="2" t="s">
        <v>763</v>
      </c>
      <c r="H233" s="2" t="s">
        <v>634</v>
      </c>
      <c r="I233" s="2" t="s">
        <v>708</v>
      </c>
      <c r="J233" s="2" t="s">
        <v>618</v>
      </c>
      <c r="K233" s="2" t="s">
        <v>21</v>
      </c>
      <c r="L233" s="2">
        <v>28202</v>
      </c>
      <c r="M233" s="2" t="s">
        <v>635</v>
      </c>
    </row>
    <row r="234" spans="1:13" ht="63" x14ac:dyDescent="0.25">
      <c r="A234" s="2" t="s">
        <v>631</v>
      </c>
      <c r="B234" s="7"/>
      <c r="C234" s="7"/>
      <c r="D234" s="2" t="s">
        <v>38</v>
      </c>
      <c r="E234" s="2" t="s">
        <v>17</v>
      </c>
      <c r="F234" s="3" t="str">
        <f>HYPERLINK("https://twitter.com/theobserver","@theobserver")</f>
        <v>@theobserver</v>
      </c>
      <c r="G234" s="2" t="s">
        <v>764</v>
      </c>
      <c r="H234" s="2" t="s">
        <v>634</v>
      </c>
      <c r="I234" s="2" t="s">
        <v>617</v>
      </c>
      <c r="J234" s="2" t="s">
        <v>618</v>
      </c>
      <c r="K234" s="2" t="s">
        <v>21</v>
      </c>
      <c r="L234" s="2">
        <v>28202</v>
      </c>
      <c r="M234" s="2" t="s">
        <v>635</v>
      </c>
    </row>
    <row r="235" spans="1:13" ht="63" x14ac:dyDescent="0.25">
      <c r="A235" s="2" t="s">
        <v>328</v>
      </c>
      <c r="B235" s="2" t="s">
        <v>304</v>
      </c>
      <c r="C235" s="2" t="s">
        <v>765</v>
      </c>
      <c r="D235" s="2" t="s">
        <v>25</v>
      </c>
      <c r="E235" s="2" t="s">
        <v>17</v>
      </c>
      <c r="F235" s="3" t="str">
        <f>HYPERLINK("https://twitter.com/sgunn?lang=en","@sgunn")</f>
        <v>@sgunn</v>
      </c>
      <c r="G235" s="3" t="str">
        <f>HYPERLINK("mailto:steve.gunn@pilotonline.com","steve.gunn@pilotonline.com")</f>
        <v>steve.gunn@pilotonline.com</v>
      </c>
      <c r="H235" s="2" t="s">
        <v>766</v>
      </c>
      <c r="I235" s="2" t="s">
        <v>767</v>
      </c>
      <c r="J235" s="2" t="s">
        <v>768</v>
      </c>
      <c r="K235" s="2" t="s">
        <v>769</v>
      </c>
      <c r="L235" s="2">
        <v>23510</v>
      </c>
      <c r="M235" s="2" t="s">
        <v>770</v>
      </c>
    </row>
    <row r="236" spans="1:13" ht="63" x14ac:dyDescent="0.25">
      <c r="A236" s="2" t="s">
        <v>771</v>
      </c>
      <c r="B236" s="2" t="s">
        <v>67</v>
      </c>
      <c r="C236" s="2" t="s">
        <v>772</v>
      </c>
      <c r="D236" s="2" t="s">
        <v>16</v>
      </c>
      <c r="E236" s="2" t="s">
        <v>17</v>
      </c>
      <c r="F236" s="3" t="str">
        <f>HYPERLINK("https://twitter.com/mwilson1950","@mwilson1950")</f>
        <v>@mwilson1950</v>
      </c>
      <c r="G236" s="3" t="str">
        <f>HYPERLINK("mailto:mwilson@rmtelegram.com","mwilson@rmtelegram.com")</f>
        <v>mwilson@rmtelegram.com</v>
      </c>
      <c r="H236" s="2" t="s">
        <v>773</v>
      </c>
      <c r="I236" s="2" t="s">
        <v>774</v>
      </c>
      <c r="J236" s="2" t="s">
        <v>775</v>
      </c>
      <c r="K236" s="2" t="s">
        <v>21</v>
      </c>
      <c r="L236" s="2">
        <v>27804</v>
      </c>
      <c r="M236" s="2" t="s">
        <v>776</v>
      </c>
    </row>
    <row r="237" spans="1:13" ht="63" x14ac:dyDescent="0.25">
      <c r="A237" s="2" t="s">
        <v>771</v>
      </c>
      <c r="B237" s="2" t="s">
        <v>777</v>
      </c>
      <c r="C237" s="2" t="s">
        <v>778</v>
      </c>
      <c r="D237" s="2" t="s">
        <v>25</v>
      </c>
      <c r="E237" s="2" t="s">
        <v>17</v>
      </c>
      <c r="F237" s="2"/>
      <c r="G237" s="3" t="str">
        <f>HYPERLINK("mailto:jherrin@rmtelegram.com","jherrin@rmtelegram.com")</f>
        <v>jherrin@rmtelegram.com</v>
      </c>
      <c r="H237" s="2" t="s">
        <v>773</v>
      </c>
      <c r="I237" s="2" t="s">
        <v>774</v>
      </c>
      <c r="J237" s="2" t="s">
        <v>775</v>
      </c>
      <c r="K237" s="2" t="s">
        <v>21</v>
      </c>
      <c r="L237" s="2">
        <v>27804</v>
      </c>
      <c r="M237" s="2" t="s">
        <v>779</v>
      </c>
    </row>
    <row r="238" spans="1:13" ht="63" x14ac:dyDescent="0.25">
      <c r="A238" s="2" t="s">
        <v>771</v>
      </c>
      <c r="B238" s="2" t="s">
        <v>780</v>
      </c>
      <c r="C238" s="2" t="s">
        <v>781</v>
      </c>
      <c r="D238" s="2" t="s">
        <v>692</v>
      </c>
      <c r="E238" s="2" t="s">
        <v>17</v>
      </c>
      <c r="F238" s="3" t="str">
        <f>HYPERLINK("https://twitter.com/ljkay_rmt","@ljkay_rmt")</f>
        <v>@ljkay_rmt</v>
      </c>
      <c r="G238" s="3" t="str">
        <f>HYPERLINK("mailto:lkay@rmtelegram.com","lkay@rmtelegram.com")</f>
        <v>lkay@rmtelegram.com</v>
      </c>
      <c r="H238" s="2" t="s">
        <v>773</v>
      </c>
      <c r="I238" s="2" t="s">
        <v>774</v>
      </c>
      <c r="J238" s="2" t="s">
        <v>775</v>
      </c>
      <c r="K238" s="2" t="s">
        <v>21</v>
      </c>
      <c r="L238" s="2">
        <v>27804</v>
      </c>
      <c r="M238" s="2" t="s">
        <v>782</v>
      </c>
    </row>
    <row r="239" spans="1:13" ht="63" x14ac:dyDescent="0.25">
      <c r="A239" s="2" t="s">
        <v>771</v>
      </c>
      <c r="B239" s="2" t="s">
        <v>783</v>
      </c>
      <c r="C239" s="2" t="s">
        <v>170</v>
      </c>
      <c r="D239" s="2" t="s">
        <v>784</v>
      </c>
      <c r="E239" s="2" t="s">
        <v>17</v>
      </c>
      <c r="F239" s="3" t="str">
        <f>HYPERLINK("https://twitter.com/cdavis_rmt","@CDavis_RMT")</f>
        <v>@CDavis_RMT</v>
      </c>
      <c r="G239" s="3" t="str">
        <f>HYPERLINK("mailto:cdavis@rmtelegram.com","cdavis@rmtelegram.com")</f>
        <v>cdavis@rmtelegram.com</v>
      </c>
      <c r="H239" s="2" t="s">
        <v>773</v>
      </c>
      <c r="I239" s="2" t="s">
        <v>774</v>
      </c>
      <c r="J239" s="2" t="s">
        <v>775</v>
      </c>
      <c r="K239" s="2" t="s">
        <v>21</v>
      </c>
      <c r="L239" s="2">
        <v>27804</v>
      </c>
      <c r="M239" s="2" t="s">
        <v>785</v>
      </c>
    </row>
    <row r="240" spans="1:13" ht="63" x14ac:dyDescent="0.25">
      <c r="A240" s="2" t="s">
        <v>771</v>
      </c>
      <c r="B240" s="2" t="s">
        <v>786</v>
      </c>
      <c r="C240" s="2" t="s">
        <v>787</v>
      </c>
      <c r="D240" s="2" t="s">
        <v>384</v>
      </c>
      <c r="E240" s="2" t="s">
        <v>17</v>
      </c>
      <c r="F240" s="3" t="str">
        <f>HYPERLINK("https://twitter.com/aharper_RMT","@aharper_RMT")</f>
        <v>@aharper_RMT</v>
      </c>
      <c r="G240" s="3" t="str">
        <f>HYPERLINK("mailto:aharper@rmtelegram.com","aharper@rmtelegram.com")</f>
        <v>aharper@rmtelegram.com</v>
      </c>
      <c r="H240" s="2" t="s">
        <v>773</v>
      </c>
      <c r="I240" s="2" t="s">
        <v>774</v>
      </c>
      <c r="J240" s="2" t="s">
        <v>775</v>
      </c>
      <c r="K240" s="2" t="s">
        <v>21</v>
      </c>
      <c r="L240" s="2">
        <v>27804</v>
      </c>
      <c r="M240" s="2" t="s">
        <v>788</v>
      </c>
    </row>
    <row r="241" spans="1:13" ht="63" x14ac:dyDescent="0.25">
      <c r="A241" s="2" t="s">
        <v>771</v>
      </c>
      <c r="B241" s="2"/>
      <c r="C241" s="2"/>
      <c r="D241" s="2" t="s">
        <v>789</v>
      </c>
      <c r="E241" s="2" t="s">
        <v>17</v>
      </c>
      <c r="F241" s="3" t="str">
        <f>HYPERLINK("https://twitter.com/telegramreports","@telegramreports")</f>
        <v>@telegramreports</v>
      </c>
      <c r="G241" s="3" t="str">
        <f>HYPERLINK("mailto:jherrin@rmtelegram.com","jherrin@rmtelegram.com")</f>
        <v>jherrin@rmtelegram.com</v>
      </c>
      <c r="H241" s="2" t="s">
        <v>773</v>
      </c>
      <c r="I241" s="2" t="s">
        <v>774</v>
      </c>
      <c r="J241" s="2" t="s">
        <v>775</v>
      </c>
      <c r="K241" s="2" t="s">
        <v>21</v>
      </c>
      <c r="L241" s="2">
        <v>27804</v>
      </c>
      <c r="M241" s="2" t="s">
        <v>790</v>
      </c>
    </row>
    <row r="242" spans="1:13" ht="63" x14ac:dyDescent="0.25">
      <c r="A242" s="2" t="s">
        <v>771</v>
      </c>
      <c r="B242" s="7"/>
      <c r="C242" s="7"/>
      <c r="D242" s="2" t="s">
        <v>38</v>
      </c>
      <c r="E242" s="2" t="s">
        <v>17</v>
      </c>
      <c r="F242" s="3" t="str">
        <f>HYPERLINK("https://twitter.com/telegramreports","@telegramreports")</f>
        <v>@telegramreports</v>
      </c>
      <c r="G242" s="3" t="str">
        <f>HYPERLINK("mailto:jherrin@rmtelegram.com","jherrin@rmtelegram.com")</f>
        <v>jherrin@rmtelegram.com</v>
      </c>
      <c r="H242" s="2" t="s">
        <v>773</v>
      </c>
      <c r="I242" s="2" t="s">
        <v>774</v>
      </c>
      <c r="J242" s="2" t="s">
        <v>775</v>
      </c>
      <c r="K242" s="2" t="s">
        <v>21</v>
      </c>
      <c r="L242" s="2">
        <v>27804</v>
      </c>
      <c r="M242" s="2" t="s">
        <v>790</v>
      </c>
    </row>
    <row r="243" spans="1:13" ht="78.75" x14ac:dyDescent="0.25">
      <c r="A243" s="2" t="s">
        <v>791</v>
      </c>
      <c r="B243" s="2" t="s">
        <v>488</v>
      </c>
      <c r="C243" s="2" t="s">
        <v>590</v>
      </c>
      <c r="D243" s="2" t="s">
        <v>16</v>
      </c>
      <c r="E243" s="2" t="s">
        <v>17</v>
      </c>
      <c r="F243" s="3"/>
      <c r="G243" s="4" t="str">
        <f>HYPERLINK("mailto:mike.distelhorst@starnewsonline.com","mike.distelhorst@starnewsonline.com")</f>
        <v>mike.distelhorst@starnewsonline.com</v>
      </c>
      <c r="H243" s="2" t="s">
        <v>792</v>
      </c>
      <c r="I243" s="2" t="s">
        <v>793</v>
      </c>
      <c r="J243" s="2" t="s">
        <v>794</v>
      </c>
      <c r="K243" s="2" t="s">
        <v>21</v>
      </c>
      <c r="L243" s="2">
        <v>28402</v>
      </c>
      <c r="M243" s="2" t="s">
        <v>795</v>
      </c>
    </row>
    <row r="244" spans="1:13" ht="63" x14ac:dyDescent="0.25">
      <c r="A244" s="2" t="s">
        <v>791</v>
      </c>
      <c r="B244" s="2" t="s">
        <v>796</v>
      </c>
      <c r="C244" s="2" t="s">
        <v>797</v>
      </c>
      <c r="D244" s="2" t="s">
        <v>268</v>
      </c>
      <c r="E244" s="2" t="s">
        <v>17</v>
      </c>
      <c r="F244" s="3" t="str">
        <f>HYPERLINK("https://twitter.com/PamSander","@PamSander")</f>
        <v>@PamSander</v>
      </c>
      <c r="G244" s="3" t="str">
        <f>HYPERLINK("mailto:pam.sander@starnewsonline.com","pam.sander@starnewsonline.com")</f>
        <v>pam.sander@starnewsonline.com</v>
      </c>
      <c r="H244" s="2" t="s">
        <v>792</v>
      </c>
      <c r="I244" s="2" t="s">
        <v>793</v>
      </c>
      <c r="J244" s="2" t="s">
        <v>794</v>
      </c>
      <c r="K244" s="2" t="s">
        <v>21</v>
      </c>
      <c r="L244" s="2">
        <v>28402</v>
      </c>
      <c r="M244" s="2" t="s">
        <v>798</v>
      </c>
    </row>
    <row r="245" spans="1:13" ht="63" x14ac:dyDescent="0.25">
      <c r="A245" s="2" t="s">
        <v>791</v>
      </c>
      <c r="B245" s="2" t="s">
        <v>636</v>
      </c>
      <c r="C245" s="2" t="s">
        <v>28</v>
      </c>
      <c r="D245" s="2" t="s">
        <v>117</v>
      </c>
      <c r="E245" s="2" t="s">
        <v>17</v>
      </c>
      <c r="F245" s="3" t="str">
        <f>HYPERLINK("https://twitter.com/SherryJones73","@SherryJones73")</f>
        <v>@SherryJones73</v>
      </c>
      <c r="G245" s="3" t="str">
        <f>HYPERLINK("mailto:sherry.jones@starnewsonline.com","sherry.jones@starnewsonline.com")</f>
        <v>sherry.jones@starnewsonline.com</v>
      </c>
      <c r="H245" s="2" t="s">
        <v>792</v>
      </c>
      <c r="I245" s="2" t="s">
        <v>793</v>
      </c>
      <c r="J245" s="2" t="s">
        <v>794</v>
      </c>
      <c r="K245" s="2" t="s">
        <v>21</v>
      </c>
      <c r="L245" s="2">
        <v>28402</v>
      </c>
      <c r="M245" s="2" t="s">
        <v>799</v>
      </c>
    </row>
    <row r="246" spans="1:13" ht="78.75" x14ac:dyDescent="0.25">
      <c r="A246" s="2" t="s">
        <v>791</v>
      </c>
      <c r="B246" s="2" t="s">
        <v>800</v>
      </c>
      <c r="C246" s="2" t="s">
        <v>801</v>
      </c>
      <c r="D246" s="2" t="s">
        <v>802</v>
      </c>
      <c r="E246" s="2" t="s">
        <v>17</v>
      </c>
      <c r="F246" s="3" t="str">
        <f>HYPERLINK("https://twitter.com/GarethMcGrathSN","@GarethMcGrathSN")</f>
        <v>@GarethMcGrathSN</v>
      </c>
      <c r="G246" s="3" t="str">
        <f>HYPERLINK("mailto:gareth.mcgrath@starnewsonline.com","gareth.mcgrath@starnewsonline.com")</f>
        <v>gareth.mcgrath@starnewsonline.com</v>
      </c>
      <c r="H246" s="2" t="s">
        <v>792</v>
      </c>
      <c r="I246" s="2" t="s">
        <v>793</v>
      </c>
      <c r="J246" s="2" t="s">
        <v>794</v>
      </c>
      <c r="K246" s="2" t="s">
        <v>21</v>
      </c>
      <c r="L246" s="2">
        <v>28402</v>
      </c>
      <c r="M246" s="2" t="s">
        <v>803</v>
      </c>
    </row>
    <row r="247" spans="1:13" ht="63" x14ac:dyDescent="0.25">
      <c r="A247" s="2" t="s">
        <v>791</v>
      </c>
      <c r="B247" s="2" t="s">
        <v>804</v>
      </c>
      <c r="C247" s="2" t="s">
        <v>805</v>
      </c>
      <c r="D247" s="2" t="s">
        <v>806</v>
      </c>
      <c r="E247" s="2" t="s">
        <v>17</v>
      </c>
      <c r="F247" s="3" t="str">
        <f>HYPERLINK("https://twitter.com/scottnunn","@scottnunn")</f>
        <v>@scottnunn</v>
      </c>
      <c r="G247" s="3" t="str">
        <f>HYPERLINK("mailto:scott.nunn@starnewsonline.com","scott.nunn@starnewsonline.com")</f>
        <v>scott.nunn@starnewsonline.com</v>
      </c>
      <c r="H247" s="2" t="s">
        <v>792</v>
      </c>
      <c r="I247" s="2" t="s">
        <v>793</v>
      </c>
      <c r="J247" s="2" t="s">
        <v>794</v>
      </c>
      <c r="K247" s="2" t="s">
        <v>21</v>
      </c>
      <c r="L247" s="2">
        <v>28402</v>
      </c>
      <c r="M247" s="2" t="s">
        <v>807</v>
      </c>
    </row>
    <row r="248" spans="1:13" ht="94.5" x14ac:dyDescent="0.25">
      <c r="A248" s="2" t="s">
        <v>791</v>
      </c>
      <c r="B248" s="2" t="s">
        <v>808</v>
      </c>
      <c r="C248" s="2" t="s">
        <v>809</v>
      </c>
      <c r="D248" s="2" t="s">
        <v>810</v>
      </c>
      <c r="E248" s="2" t="s">
        <v>17</v>
      </c>
      <c r="F248" s="3" t="str">
        <f>HYPERLINK("https://twitter.com/sicantwell","@sicantwell")</f>
        <v>@sicantwell</v>
      </c>
      <c r="G248" s="3" t="str">
        <f>HYPERLINK("mailto:si.cantwell@starnewsonline.com","si.cantwell@starnewsonline.com")</f>
        <v>si.cantwell@starnewsonline.com</v>
      </c>
      <c r="H248" s="2" t="s">
        <v>792</v>
      </c>
      <c r="I248" s="2" t="s">
        <v>793</v>
      </c>
      <c r="J248" s="2" t="s">
        <v>794</v>
      </c>
      <c r="K248" s="2" t="s">
        <v>21</v>
      </c>
      <c r="L248" s="2">
        <v>28402</v>
      </c>
      <c r="M248" s="2" t="s">
        <v>811</v>
      </c>
    </row>
    <row r="249" spans="1:13" ht="94.5" x14ac:dyDescent="0.25">
      <c r="A249" s="2" t="s">
        <v>791</v>
      </c>
      <c r="B249" s="2" t="s">
        <v>179</v>
      </c>
      <c r="C249" s="2" t="s">
        <v>812</v>
      </c>
      <c r="D249" s="2" t="s">
        <v>813</v>
      </c>
      <c r="E249" s="2" t="s">
        <v>17</v>
      </c>
      <c r="F249" s="3" t="str">
        <f>HYPERLINK("https://twitter.com/TimBucklandSN","@TimBucklandSN")</f>
        <v>@TimBucklandSN</v>
      </c>
      <c r="G249" s="3" t="str">
        <f>HYPERLINK("mailto:tim.buckland@starnewsonline.com","tim.buckland@starnewsonline.com")</f>
        <v>tim.buckland@starnewsonline.com</v>
      </c>
      <c r="H249" s="2" t="s">
        <v>792</v>
      </c>
      <c r="I249" s="2" t="s">
        <v>793</v>
      </c>
      <c r="J249" s="2" t="s">
        <v>794</v>
      </c>
      <c r="K249" s="2" t="s">
        <v>21</v>
      </c>
      <c r="L249" s="2">
        <v>28402</v>
      </c>
      <c r="M249" s="2" t="s">
        <v>814</v>
      </c>
    </row>
    <row r="250" spans="1:13" ht="78.75" x14ac:dyDescent="0.25">
      <c r="A250" s="2" t="s">
        <v>791</v>
      </c>
      <c r="B250" s="2" t="s">
        <v>40</v>
      </c>
      <c r="C250" s="2" t="s">
        <v>815</v>
      </c>
      <c r="D250" s="2" t="s">
        <v>816</v>
      </c>
      <c r="E250" s="2" t="s">
        <v>17</v>
      </c>
      <c r="F250" s="3" t="str">
        <f>HYPERLINK("https://twitter.com/AshleyMorrisSN","@AshleyMorrisSN")</f>
        <v>@AshleyMorrisSN</v>
      </c>
      <c r="G250" s="3" t="str">
        <f>HYPERLINK("mailto:ashley.morris@starnewsonline.com","ashley.morris@starnewsonline.com")</f>
        <v>ashley.morris@starnewsonline.com</v>
      </c>
      <c r="H250" s="2" t="s">
        <v>792</v>
      </c>
      <c r="I250" s="2" t="s">
        <v>793</v>
      </c>
      <c r="J250" s="2" t="s">
        <v>794</v>
      </c>
      <c r="K250" s="2" t="s">
        <v>21</v>
      </c>
      <c r="L250" s="2">
        <v>28402</v>
      </c>
      <c r="M250" s="2" t="s">
        <v>817</v>
      </c>
    </row>
    <row r="251" spans="1:13" ht="63" x14ac:dyDescent="0.25">
      <c r="A251" s="2" t="s">
        <v>791</v>
      </c>
      <c r="B251" s="2" t="s">
        <v>818</v>
      </c>
      <c r="C251" s="2" t="s">
        <v>819</v>
      </c>
      <c r="D251" s="2" t="s">
        <v>820</v>
      </c>
      <c r="E251" s="2" t="s">
        <v>17</v>
      </c>
      <c r="F251" s="3" t="str">
        <f>HYPERLINK("https://twitter.com/FTNortonSN","@FTNortonSN")</f>
        <v>@FTNortonSN</v>
      </c>
      <c r="G251" s="3" t="str">
        <f>HYPERLINK("mailto:fran.norton@starnewsonline.com","fran.norton@starnewsonline.com")</f>
        <v>fran.norton@starnewsonline.com</v>
      </c>
      <c r="H251" s="2" t="s">
        <v>792</v>
      </c>
      <c r="I251" s="2" t="s">
        <v>793</v>
      </c>
      <c r="J251" s="2" t="s">
        <v>794</v>
      </c>
      <c r="K251" s="2" t="s">
        <v>21</v>
      </c>
      <c r="L251" s="2">
        <v>28402</v>
      </c>
      <c r="M251" s="2" t="s">
        <v>821</v>
      </c>
    </row>
    <row r="252" spans="1:13" ht="78.75" x14ac:dyDescent="0.25">
      <c r="A252" s="2" t="s">
        <v>791</v>
      </c>
      <c r="B252" s="2" t="s">
        <v>822</v>
      </c>
      <c r="C252" s="2" t="s">
        <v>823</v>
      </c>
      <c r="D252" s="2" t="s">
        <v>824</v>
      </c>
      <c r="E252" s="2" t="s">
        <v>17</v>
      </c>
      <c r="F252" s="3" t="str">
        <f>HYPERLINK("https://twitter.com/HunterIngramSN","@HunterIngramSN")</f>
        <v>@HunterIngramSN</v>
      </c>
      <c r="G252" s="3" t="str">
        <f>HYPERLINK("mailto:hunter.ingram@starnewsonline.com","hunter.ingram@starnewsonline.com")</f>
        <v>hunter.ingram@starnewsonline.com</v>
      </c>
      <c r="H252" s="2" t="s">
        <v>792</v>
      </c>
      <c r="I252" s="2" t="s">
        <v>825</v>
      </c>
      <c r="J252" s="2" t="s">
        <v>794</v>
      </c>
      <c r="K252" s="2" t="s">
        <v>21</v>
      </c>
      <c r="L252" s="2">
        <v>28402</v>
      </c>
      <c r="M252" s="2" t="s">
        <v>826</v>
      </c>
    </row>
    <row r="253" spans="1:13" ht="78.75" x14ac:dyDescent="0.25">
      <c r="A253" s="2" t="s">
        <v>791</v>
      </c>
      <c r="B253" s="2" t="s">
        <v>827</v>
      </c>
      <c r="C253" s="2" t="s">
        <v>828</v>
      </c>
      <c r="D253" s="2" t="s">
        <v>678</v>
      </c>
      <c r="E253" s="2" t="s">
        <v>17</v>
      </c>
      <c r="F253" s="3" t="str">
        <f>HYPERLINK("https://twitter.com/CammieBellamySN","@CammieBellamySN")</f>
        <v>@CammieBellamySN</v>
      </c>
      <c r="G253" s="3" t="str">
        <f>HYPERLINK("mailto:cammie.bellamy@starnewsonline.com","cammie.bellamy@starnewsonline.com")</f>
        <v>cammie.bellamy@starnewsonline.com</v>
      </c>
      <c r="H253" s="2" t="s">
        <v>792</v>
      </c>
      <c r="I253" s="2" t="s">
        <v>793</v>
      </c>
      <c r="J253" s="2" t="s">
        <v>794</v>
      </c>
      <c r="K253" s="2" t="s">
        <v>21</v>
      </c>
      <c r="L253" s="2">
        <v>28402</v>
      </c>
      <c r="M253" s="2" t="s">
        <v>829</v>
      </c>
    </row>
    <row r="254" spans="1:13" ht="78.75" x14ac:dyDescent="0.25">
      <c r="A254" s="2" t="s">
        <v>791</v>
      </c>
      <c r="B254" s="2" t="s">
        <v>442</v>
      </c>
      <c r="C254" s="2" t="s">
        <v>830</v>
      </c>
      <c r="D254" s="2" t="s">
        <v>831</v>
      </c>
      <c r="E254" s="2" t="s">
        <v>17</v>
      </c>
      <c r="F254" s="3" t="str">
        <f>HYPERLINK("https://twitter.com/AdamWagnerSN","@AdamWagnerSN")</f>
        <v>@AdamWagnerSN</v>
      </c>
      <c r="G254" s="3" t="str">
        <f>HYPERLINK("mailto:adam.wagner@starnewsonline.com","adam.wagner@starnewsonline.com")</f>
        <v>adam.wagner@starnewsonline.com</v>
      </c>
      <c r="H254" s="2" t="s">
        <v>792</v>
      </c>
      <c r="I254" s="2" t="s">
        <v>793</v>
      </c>
      <c r="J254" s="2" t="s">
        <v>794</v>
      </c>
      <c r="K254" s="2" t="s">
        <v>21</v>
      </c>
      <c r="L254" s="2">
        <v>28402</v>
      </c>
      <c r="M254" s="2" t="s">
        <v>832</v>
      </c>
    </row>
    <row r="255" spans="1:13" ht="110.25" x14ac:dyDescent="0.25">
      <c r="A255" s="2" t="s">
        <v>791</v>
      </c>
      <c r="B255" s="2" t="s">
        <v>73</v>
      </c>
      <c r="C255" s="2" t="s">
        <v>833</v>
      </c>
      <c r="D255" s="2" t="s">
        <v>834</v>
      </c>
      <c r="E255" s="2" t="s">
        <v>17</v>
      </c>
      <c r="F255" s="3" t="str">
        <f>HYPERLINK("https://twitter.com/johnstatonsn?lang=en","@JohnStatonSN")</f>
        <v>@JohnStatonSN</v>
      </c>
      <c r="G255" s="3" t="str">
        <f>HYPERLINK("mailto:john.staton@starnewsonline.com","john.staton@starnewsonline.com")</f>
        <v>john.staton@starnewsonline.com</v>
      </c>
      <c r="H255" s="2" t="s">
        <v>792</v>
      </c>
      <c r="I255" s="2" t="s">
        <v>793</v>
      </c>
      <c r="J255" s="2" t="s">
        <v>794</v>
      </c>
      <c r="K255" s="2" t="s">
        <v>21</v>
      </c>
      <c r="L255" s="2">
        <v>28402</v>
      </c>
      <c r="M255" s="2" t="s">
        <v>835</v>
      </c>
    </row>
    <row r="256" spans="1:13" ht="78.75" x14ac:dyDescent="0.25">
      <c r="A256" s="2" t="s">
        <v>791</v>
      </c>
      <c r="B256" s="7"/>
      <c r="C256" s="7"/>
      <c r="D256" s="2" t="s">
        <v>836</v>
      </c>
      <c r="E256" s="2" t="s">
        <v>17</v>
      </c>
      <c r="F256" s="3" t="str">
        <f>HYPERLINK("https://twitter.com/StarNewsOnline","@StarNewsOnline")</f>
        <v>@StarNewsOnline</v>
      </c>
      <c r="G256" s="3" t="str">
        <f>HYPERLINK("mailto:breakingnews@starnewsonline.com","breakingnews@starnewsonline.com")</f>
        <v>breakingnews@starnewsonline.com</v>
      </c>
      <c r="H256" s="2" t="s">
        <v>792</v>
      </c>
      <c r="I256" s="2" t="s">
        <v>793</v>
      </c>
      <c r="J256" s="2" t="s">
        <v>794</v>
      </c>
      <c r="K256" s="2" t="s">
        <v>21</v>
      </c>
      <c r="L256" s="2">
        <v>28402</v>
      </c>
      <c r="M256" s="2" t="s">
        <v>837</v>
      </c>
    </row>
    <row r="257" spans="1:13" ht="63" x14ac:dyDescent="0.25">
      <c r="A257" s="2" t="s">
        <v>838</v>
      </c>
      <c r="B257" s="7"/>
      <c r="C257" s="7"/>
      <c r="D257" s="2" t="s">
        <v>38</v>
      </c>
      <c r="E257" s="2" t="s">
        <v>17</v>
      </c>
      <c r="F257" s="3" t="str">
        <f>HYPERLINK("https://twitter.com/StarNewsOnline","@StarNewsOnline")</f>
        <v>@StarNewsOnline</v>
      </c>
      <c r="G257" s="3" t="str">
        <f>HYPERLINK("mailto:pam.sander@starnewsonline.com","pam.sander@starnewsonline.com")</f>
        <v>pam.sander@starnewsonline.com</v>
      </c>
      <c r="H257" s="2" t="s">
        <v>792</v>
      </c>
      <c r="I257" s="2" t="s">
        <v>793</v>
      </c>
      <c r="J257" s="2" t="s">
        <v>794</v>
      </c>
      <c r="K257" s="2" t="s">
        <v>21</v>
      </c>
      <c r="L257" s="2">
        <v>28402</v>
      </c>
      <c r="M257" s="2" t="s">
        <v>839</v>
      </c>
    </row>
    <row r="258" spans="1:13" ht="63" x14ac:dyDescent="0.25">
      <c r="A258" s="2" t="s">
        <v>840</v>
      </c>
      <c r="B258" s="2" t="s">
        <v>104</v>
      </c>
      <c r="C258" s="2" t="s">
        <v>590</v>
      </c>
      <c r="D258" s="2" t="s">
        <v>841</v>
      </c>
      <c r="E258" s="2" t="s">
        <v>17</v>
      </c>
      <c r="F258" s="2"/>
      <c r="G258" s="3" t="str">
        <f>HYPERLINK("mailto:mike.distelhorst@newbernsj.com","mike.distelhorst@newbernsj.com")</f>
        <v>mike.distelhorst@newbernsj.com</v>
      </c>
      <c r="H258" s="2" t="s">
        <v>842</v>
      </c>
      <c r="I258" s="2" t="s">
        <v>843</v>
      </c>
      <c r="J258" s="2" t="s">
        <v>844</v>
      </c>
      <c r="K258" s="2" t="s">
        <v>21</v>
      </c>
      <c r="L258" s="2">
        <v>28540</v>
      </c>
      <c r="M258" s="2" t="s">
        <v>845</v>
      </c>
    </row>
    <row r="259" spans="1:13" ht="47.25" x14ac:dyDescent="0.25">
      <c r="A259" s="2" t="s">
        <v>840</v>
      </c>
      <c r="B259" s="2" t="s">
        <v>846</v>
      </c>
      <c r="C259" s="2" t="s">
        <v>847</v>
      </c>
      <c r="D259" s="2" t="s">
        <v>270</v>
      </c>
      <c r="E259" s="2" t="s">
        <v>17</v>
      </c>
      <c r="F259" s="2"/>
      <c r="G259" s="3" t="str">
        <f>HYPERLINK("mailto:anita.perrin@jdnews.com","anita.perrin@jdnews.com")</f>
        <v>anita.perrin@jdnews.com</v>
      </c>
      <c r="H259" s="2" t="s">
        <v>842</v>
      </c>
      <c r="I259" s="2" t="s">
        <v>843</v>
      </c>
      <c r="J259" s="2" t="s">
        <v>844</v>
      </c>
      <c r="K259" s="2" t="s">
        <v>21</v>
      </c>
      <c r="L259" s="2">
        <v>28540</v>
      </c>
      <c r="M259" s="2" t="s">
        <v>848</v>
      </c>
    </row>
    <row r="260" spans="1:13" ht="47.25" x14ac:dyDescent="0.25">
      <c r="A260" s="2" t="s">
        <v>840</v>
      </c>
      <c r="B260" s="2" t="s">
        <v>237</v>
      </c>
      <c r="C260" s="2" t="s">
        <v>238</v>
      </c>
      <c r="D260" s="2" t="s">
        <v>25</v>
      </c>
      <c r="E260" s="2" t="s">
        <v>17</v>
      </c>
      <c r="F260" s="6" t="s">
        <v>177</v>
      </c>
      <c r="G260" s="4" t="s">
        <v>849</v>
      </c>
      <c r="H260" s="2" t="s">
        <v>842</v>
      </c>
      <c r="I260" s="2" t="s">
        <v>843</v>
      </c>
      <c r="J260" s="2" t="s">
        <v>844</v>
      </c>
      <c r="K260" s="2" t="s">
        <v>21</v>
      </c>
      <c r="L260" s="2">
        <v>28540</v>
      </c>
      <c r="M260" s="2" t="s">
        <v>850</v>
      </c>
    </row>
    <row r="261" spans="1:13" ht="63" x14ac:dyDescent="0.25">
      <c r="A261" s="2" t="s">
        <v>840</v>
      </c>
      <c r="B261" s="2" t="s">
        <v>290</v>
      </c>
      <c r="C261" s="2" t="s">
        <v>851</v>
      </c>
      <c r="D261" s="2" t="s">
        <v>29</v>
      </c>
      <c r="E261" s="2" t="s">
        <v>17</v>
      </c>
      <c r="F261" s="6" t="str">
        <f>HYPERLINK("https://twitter.com/amandawrites?lang=en","@AmandaWrites")</f>
        <v>@AmandaWrites</v>
      </c>
      <c r="G261" s="3" t="str">
        <f>HYPERLINK("mailto:amanda.humphrey@jdnews.com","amanda.humphrey@jdnews.com")</f>
        <v>amanda.humphrey@jdnews.com</v>
      </c>
      <c r="H261" s="2" t="s">
        <v>842</v>
      </c>
      <c r="I261" s="2" t="s">
        <v>843</v>
      </c>
      <c r="J261" s="2" t="s">
        <v>844</v>
      </c>
      <c r="K261" s="2" t="s">
        <v>21</v>
      </c>
      <c r="L261" s="2">
        <v>28540</v>
      </c>
      <c r="M261" s="2" t="s">
        <v>852</v>
      </c>
    </row>
    <row r="262" spans="1:13" ht="63" x14ac:dyDescent="0.25">
      <c r="A262" s="2" t="s">
        <v>840</v>
      </c>
      <c r="B262" s="2" t="s">
        <v>853</v>
      </c>
      <c r="C262" s="2" t="s">
        <v>854</v>
      </c>
      <c r="D262" s="2" t="s">
        <v>33</v>
      </c>
      <c r="E262" s="2" t="s">
        <v>17</v>
      </c>
      <c r="F262" s="3" t="str">
        <f>HYPERLINK("https://twitter.com/jdnewsjpippin","@jdnewsjpippin")</f>
        <v>@jdnewsjpippin</v>
      </c>
      <c r="G262" s="3" t="str">
        <f>HYPERLINK("mailto:jannette.pippin@jdnews.com","jannette.pippin@jdnews.com")</f>
        <v>jannette.pippin@jdnews.com</v>
      </c>
      <c r="H262" s="2" t="s">
        <v>842</v>
      </c>
      <c r="I262" s="2" t="s">
        <v>843</v>
      </c>
      <c r="J262" s="2" t="s">
        <v>844</v>
      </c>
      <c r="K262" s="2" t="s">
        <v>21</v>
      </c>
      <c r="L262" s="2">
        <v>28540</v>
      </c>
      <c r="M262" s="2" t="s">
        <v>855</v>
      </c>
    </row>
    <row r="263" spans="1:13" ht="63" x14ac:dyDescent="0.25">
      <c r="A263" s="2" t="s">
        <v>840</v>
      </c>
      <c r="B263" s="2" t="s">
        <v>290</v>
      </c>
      <c r="C263" s="2" t="s">
        <v>856</v>
      </c>
      <c r="D263" s="2" t="s">
        <v>857</v>
      </c>
      <c r="E263" s="2" t="s">
        <v>17</v>
      </c>
      <c r="F263" s="3" t="str">
        <f>HYPERLINK("https://twitter.com/AmandaThames","@AmandaThames")</f>
        <v>@AmandaThames</v>
      </c>
      <c r="G263" s="3" t="str">
        <f>HYPERLINK("mailto:amanda.thames@jdnews.com","amanda.thames@jdnews.com")</f>
        <v>amanda.thames@jdnews.com</v>
      </c>
      <c r="H263" s="2" t="s">
        <v>842</v>
      </c>
      <c r="I263" s="2" t="s">
        <v>843</v>
      </c>
      <c r="J263" s="2" t="s">
        <v>844</v>
      </c>
      <c r="K263" s="2" t="s">
        <v>858</v>
      </c>
      <c r="L263" s="2">
        <v>28546</v>
      </c>
      <c r="M263" s="2" t="s">
        <v>859</v>
      </c>
    </row>
    <row r="264" spans="1:13" ht="47.25" x14ac:dyDescent="0.25">
      <c r="A264" s="2" t="s">
        <v>840</v>
      </c>
      <c r="B264" s="7"/>
      <c r="C264" s="7"/>
      <c r="D264" s="2" t="s">
        <v>38</v>
      </c>
      <c r="E264" s="2" t="s">
        <v>17</v>
      </c>
      <c r="F264" s="6" t="str">
        <f>HYPERLINK("twitter.com/JDNews","@JDNews")</f>
        <v>@JDNews</v>
      </c>
      <c r="G264" s="3" t="str">
        <f>HYPERLINK("mailto:jdnletters@jdnews.com","jdnletters@jdnews.com")</f>
        <v>jdnletters@jdnews.com</v>
      </c>
      <c r="H264" s="2" t="s">
        <v>842</v>
      </c>
      <c r="I264" s="2" t="s">
        <v>843</v>
      </c>
      <c r="J264" s="2" t="s">
        <v>844</v>
      </c>
      <c r="K264" s="2" t="s">
        <v>21</v>
      </c>
      <c r="L264" s="2">
        <v>28546</v>
      </c>
      <c r="M264" s="2" t="s">
        <v>860</v>
      </c>
    </row>
    <row r="265" spans="1:13" ht="47.25" x14ac:dyDescent="0.25">
      <c r="A265" s="2" t="s">
        <v>840</v>
      </c>
      <c r="B265" s="7"/>
      <c r="C265" s="7"/>
      <c r="D265" s="2" t="s">
        <v>37</v>
      </c>
      <c r="E265" s="2" t="s">
        <v>17</v>
      </c>
      <c r="F265" s="6" t="str">
        <f>HYPERLINK("twitter.com/JDNews","@JDNews")</f>
        <v>@JDNews</v>
      </c>
      <c r="G265" s="3" t="str">
        <f>HYPERLINK("mailto:localdesk@jdnews.com","localdesk@jdnews.com")</f>
        <v>localdesk@jdnews.com</v>
      </c>
      <c r="H265" s="2" t="s">
        <v>842</v>
      </c>
      <c r="I265" s="2" t="s">
        <v>843</v>
      </c>
      <c r="J265" s="2" t="s">
        <v>844</v>
      </c>
      <c r="K265" s="2" t="s">
        <v>21</v>
      </c>
      <c r="L265" s="2">
        <v>28546</v>
      </c>
      <c r="M265" s="2" t="s">
        <v>860</v>
      </c>
    </row>
    <row r="266" spans="1:13" ht="47.25" x14ac:dyDescent="0.25">
      <c r="A266" s="2" t="s">
        <v>840</v>
      </c>
      <c r="B266" s="2" t="s">
        <v>861</v>
      </c>
      <c r="C266" s="2" t="s">
        <v>862</v>
      </c>
      <c r="D266" s="2" t="s">
        <v>33</v>
      </c>
      <c r="E266" s="2" t="s">
        <v>17</v>
      </c>
      <c r="F266" s="6" t="s">
        <v>177</v>
      </c>
      <c r="G266" s="3" t="s">
        <v>863</v>
      </c>
      <c r="H266" s="2" t="s">
        <v>842</v>
      </c>
      <c r="I266" s="2" t="s">
        <v>843</v>
      </c>
      <c r="J266" s="2" t="s">
        <v>844</v>
      </c>
      <c r="K266" s="2" t="s">
        <v>21</v>
      </c>
      <c r="L266" s="2">
        <v>28540</v>
      </c>
      <c r="M266" s="2" t="s">
        <v>864</v>
      </c>
    </row>
    <row r="267" spans="1:13" ht="63" x14ac:dyDescent="0.25">
      <c r="A267" s="2" t="s">
        <v>865</v>
      </c>
      <c r="B267" s="2" t="s">
        <v>67</v>
      </c>
      <c r="C267" s="2" t="s">
        <v>359</v>
      </c>
      <c r="D267" s="2" t="s">
        <v>866</v>
      </c>
      <c r="E267" s="2" t="s">
        <v>17</v>
      </c>
      <c r="F267" s="5"/>
      <c r="G267" s="3" t="str">
        <f>HYPERLINK("mailto:mschultz@newsobserver.com","mschultz@newsobserver.com")</f>
        <v>mschultz@newsobserver.com</v>
      </c>
      <c r="H267" s="2" t="s">
        <v>867</v>
      </c>
      <c r="I267" s="2" t="s">
        <v>868</v>
      </c>
      <c r="J267" s="2" t="s">
        <v>869</v>
      </c>
      <c r="K267" s="2" t="s">
        <v>21</v>
      </c>
      <c r="L267" s="2">
        <v>27516</v>
      </c>
      <c r="M267" s="2" t="s">
        <v>870</v>
      </c>
    </row>
    <row r="268" spans="1:13" ht="78.75" x14ac:dyDescent="0.25">
      <c r="A268" s="2" t="s">
        <v>865</v>
      </c>
      <c r="B268" s="2" t="s">
        <v>871</v>
      </c>
      <c r="C268" s="2" t="s">
        <v>872</v>
      </c>
      <c r="D268" s="2" t="s">
        <v>873</v>
      </c>
      <c r="E268" s="2" t="s">
        <v>17</v>
      </c>
      <c r="F268" s="6" t="str">
        <f>HYPERLINK("https://twitter.com/rpgkt?lang=en","@RPGKT")</f>
        <v>@RPGKT</v>
      </c>
      <c r="G268" s="3" t="str">
        <f>HYPERLINK("mailto:rgallagher@newsobserver.com","rgallagher@newsobserver.com")</f>
        <v>rgallagher@newsobserver.com</v>
      </c>
      <c r="H268" s="2" t="s">
        <v>867</v>
      </c>
      <c r="I268" s="2" t="s">
        <v>868</v>
      </c>
      <c r="J268" s="2" t="s">
        <v>869</v>
      </c>
      <c r="K268" s="2" t="s">
        <v>21</v>
      </c>
      <c r="L268" s="2">
        <v>27516</v>
      </c>
      <c r="M268" s="2" t="s">
        <v>874</v>
      </c>
    </row>
    <row r="269" spans="1:13" ht="47.25" x14ac:dyDescent="0.25">
      <c r="A269" s="2" t="s">
        <v>875</v>
      </c>
      <c r="B269" s="2" t="s">
        <v>876</v>
      </c>
      <c r="C269" s="2" t="s">
        <v>877</v>
      </c>
      <c r="D269" s="2" t="s">
        <v>117</v>
      </c>
      <c r="E269" s="2" t="s">
        <v>17</v>
      </c>
      <c r="F269" s="2"/>
      <c r="G269" s="3" t="str">
        <f>HYPERLINK("mailto:jeure@dailyadvance.com","jeure@dailyadvance.com")</f>
        <v>jeure@dailyadvance.com</v>
      </c>
      <c r="H269" s="2" t="s">
        <v>878</v>
      </c>
      <c r="I269" s="2" t="s">
        <v>879</v>
      </c>
      <c r="J269" s="2" t="s">
        <v>880</v>
      </c>
      <c r="K269" s="2" t="s">
        <v>21</v>
      </c>
      <c r="L269" s="2">
        <v>27909</v>
      </c>
      <c r="M269" s="2" t="s">
        <v>881</v>
      </c>
    </row>
    <row r="270" spans="1:13" ht="47.25" x14ac:dyDescent="0.25">
      <c r="A270" s="2" t="s">
        <v>875</v>
      </c>
      <c r="B270" s="2" t="s">
        <v>237</v>
      </c>
      <c r="C270" s="2" t="s">
        <v>882</v>
      </c>
      <c r="D270" s="2" t="s">
        <v>883</v>
      </c>
      <c r="E270" s="2" t="s">
        <v>17</v>
      </c>
      <c r="F270" s="3"/>
      <c r="G270" s="3" t="str">
        <f>HYPERLINK("mailto:cday@dailyadvance.com","cday@dailyadvance.com ")</f>
        <v xml:space="preserve">cday@dailyadvance.com </v>
      </c>
      <c r="H270" s="2" t="s">
        <v>878</v>
      </c>
      <c r="I270" s="2" t="s">
        <v>879</v>
      </c>
      <c r="J270" s="2" t="s">
        <v>880</v>
      </c>
      <c r="K270" s="2" t="s">
        <v>21</v>
      </c>
      <c r="L270" s="2">
        <v>27909</v>
      </c>
      <c r="M270" s="2" t="s">
        <v>884</v>
      </c>
    </row>
    <row r="271" spans="1:13" ht="78.75" x14ac:dyDescent="0.25">
      <c r="A271" s="2" t="s">
        <v>875</v>
      </c>
      <c r="B271" s="2" t="s">
        <v>885</v>
      </c>
      <c r="C271" s="2" t="s">
        <v>886</v>
      </c>
      <c r="D271" s="2" t="s">
        <v>887</v>
      </c>
      <c r="E271" s="2" t="s">
        <v>17</v>
      </c>
      <c r="F271" s="2"/>
      <c r="G271" s="3" t="str">
        <f>HYPERLINK("mailto:bwest@dailyadvance.com","bwest@dailyadvance.com")</f>
        <v>bwest@dailyadvance.com</v>
      </c>
      <c r="H271" s="2" t="s">
        <v>878</v>
      </c>
      <c r="I271" s="2" t="s">
        <v>879</v>
      </c>
      <c r="J271" s="2" t="s">
        <v>880</v>
      </c>
      <c r="K271" s="2" t="s">
        <v>21</v>
      </c>
      <c r="L271" s="2">
        <v>27909</v>
      </c>
      <c r="M271" s="2" t="s">
        <v>888</v>
      </c>
    </row>
    <row r="272" spans="1:13" ht="63" x14ac:dyDescent="0.25">
      <c r="A272" s="2" t="s">
        <v>875</v>
      </c>
      <c r="B272" s="2" t="s">
        <v>97</v>
      </c>
      <c r="C272" s="2" t="s">
        <v>889</v>
      </c>
      <c r="D272" s="2" t="s">
        <v>890</v>
      </c>
      <c r="E272" s="2" t="s">
        <v>17</v>
      </c>
      <c r="F272" s="2"/>
      <c r="G272" s="3" t="str">
        <f>HYPERLINK("mailto:jhawley@dailyadvance.com","jhawley@dailyadvance.com ")</f>
        <v xml:space="preserve">jhawley@dailyadvance.com </v>
      </c>
      <c r="H272" s="2" t="s">
        <v>878</v>
      </c>
      <c r="I272" s="2" t="s">
        <v>879</v>
      </c>
      <c r="J272" s="2" t="s">
        <v>880</v>
      </c>
      <c r="K272" s="2" t="s">
        <v>21</v>
      </c>
      <c r="L272" s="2">
        <v>27909</v>
      </c>
      <c r="M272" s="2" t="s">
        <v>891</v>
      </c>
    </row>
    <row r="273" spans="1:13" ht="63" x14ac:dyDescent="0.25">
      <c r="A273" s="2" t="s">
        <v>875</v>
      </c>
      <c r="B273" s="2" t="s">
        <v>892</v>
      </c>
      <c r="C273" s="2" t="s">
        <v>893</v>
      </c>
      <c r="D273" s="2" t="s">
        <v>894</v>
      </c>
      <c r="E273" s="2" t="s">
        <v>17</v>
      </c>
      <c r="F273" s="2"/>
      <c r="G273" s="3" t="str">
        <f>HYPERLINK("mailto:cbeamon@dailyadvance.com","cbeamon@dailyadvance.com")</f>
        <v>cbeamon@dailyadvance.com</v>
      </c>
      <c r="H273" s="2" t="s">
        <v>878</v>
      </c>
      <c r="I273" s="2" t="s">
        <v>879</v>
      </c>
      <c r="J273" s="2" t="s">
        <v>880</v>
      </c>
      <c r="K273" s="2" t="s">
        <v>21</v>
      </c>
      <c r="L273" s="2">
        <v>27909</v>
      </c>
      <c r="M273" s="2" t="s">
        <v>895</v>
      </c>
    </row>
    <row r="274" spans="1:13" ht="63" x14ac:dyDescent="0.25">
      <c r="A274" s="2" t="s">
        <v>875</v>
      </c>
      <c r="B274" s="7"/>
      <c r="C274" s="7"/>
      <c r="D274" s="2" t="s">
        <v>38</v>
      </c>
      <c r="E274" s="2" t="s">
        <v>17</v>
      </c>
      <c r="F274" s="3" t="str">
        <f>HYPERLINK("https://twitter.com/dailyadvance","@dailyadvance")</f>
        <v>@dailyadvance</v>
      </c>
      <c r="G274" s="2" t="s">
        <v>896</v>
      </c>
      <c r="H274" s="2" t="s">
        <v>878</v>
      </c>
      <c r="I274" s="2" t="s">
        <v>879</v>
      </c>
      <c r="J274" s="2" t="s">
        <v>880</v>
      </c>
      <c r="K274" s="2" t="s">
        <v>21</v>
      </c>
      <c r="L274" s="2">
        <v>27909</v>
      </c>
      <c r="M274" s="2" t="s">
        <v>897</v>
      </c>
    </row>
    <row r="275" spans="1:13" ht="63" x14ac:dyDescent="0.25">
      <c r="A275" s="2" t="s">
        <v>898</v>
      </c>
      <c r="B275" s="7" t="s">
        <v>104</v>
      </c>
      <c r="C275" s="7" t="s">
        <v>899</v>
      </c>
      <c r="D275" s="2" t="s">
        <v>16</v>
      </c>
      <c r="E275" s="2" t="s">
        <v>17</v>
      </c>
      <c r="F275" s="2"/>
      <c r="G275" s="3" t="str">
        <f>HYPERLINK("mailto:mgoodman@dailyadvance.com","mgoodman@dailyadvance.com")</f>
        <v>mgoodman@dailyadvance.com</v>
      </c>
      <c r="H275" s="2" t="s">
        <v>878</v>
      </c>
      <c r="I275" s="2" t="s">
        <v>879</v>
      </c>
      <c r="J275" s="2" t="s">
        <v>880</v>
      </c>
      <c r="K275" s="2" t="s">
        <v>21</v>
      </c>
      <c r="L275" s="2">
        <v>27909</v>
      </c>
      <c r="M275" s="2" t="s">
        <v>900</v>
      </c>
    </row>
    <row r="276" spans="1:13" ht="47.25" x14ac:dyDescent="0.25">
      <c r="A276" s="2" t="s">
        <v>898</v>
      </c>
      <c r="B276" s="7" t="s">
        <v>876</v>
      </c>
      <c r="C276" s="7" t="s">
        <v>877</v>
      </c>
      <c r="D276" s="2" t="s">
        <v>25</v>
      </c>
      <c r="E276" s="2" t="s">
        <v>17</v>
      </c>
      <c r="F276" s="2"/>
      <c r="G276" s="3" t="s">
        <v>901</v>
      </c>
      <c r="H276" s="2" t="s">
        <v>878</v>
      </c>
      <c r="I276" s="2" t="s">
        <v>879</v>
      </c>
      <c r="J276" s="2" t="s">
        <v>880</v>
      </c>
      <c r="K276" s="2" t="s">
        <v>21</v>
      </c>
      <c r="L276" s="2">
        <v>27203</v>
      </c>
      <c r="M276" s="2"/>
    </row>
    <row r="277" spans="1:13" ht="47.25" x14ac:dyDescent="0.25">
      <c r="A277" s="2" t="s">
        <v>902</v>
      </c>
      <c r="B277" s="2" t="s">
        <v>73</v>
      </c>
      <c r="C277" s="2" t="s">
        <v>903</v>
      </c>
      <c r="D277" s="2" t="s">
        <v>16</v>
      </c>
      <c r="E277" s="2" t="s">
        <v>17</v>
      </c>
      <c r="F277" s="2"/>
      <c r="G277" s="2" t="s">
        <v>904</v>
      </c>
      <c r="H277" s="2" t="s">
        <v>905</v>
      </c>
      <c r="I277" s="2" t="s">
        <v>906</v>
      </c>
      <c r="J277" s="2" t="s">
        <v>907</v>
      </c>
      <c r="K277" s="2" t="s">
        <v>21</v>
      </c>
      <c r="L277" s="2">
        <v>27835</v>
      </c>
      <c r="M277" s="2" t="s">
        <v>908</v>
      </c>
    </row>
    <row r="278" spans="1:13" ht="78.75" x14ac:dyDescent="0.25">
      <c r="A278" s="2" t="s">
        <v>902</v>
      </c>
      <c r="B278" s="2" t="s">
        <v>104</v>
      </c>
      <c r="C278" s="2" t="s">
        <v>909</v>
      </c>
      <c r="D278" s="2" t="s">
        <v>910</v>
      </c>
      <c r="E278" s="2" t="s">
        <v>17</v>
      </c>
      <c r="F278" s="2"/>
      <c r="G278" s="2" t="s">
        <v>911</v>
      </c>
      <c r="H278" s="2" t="s">
        <v>905</v>
      </c>
      <c r="I278" s="2" t="s">
        <v>906</v>
      </c>
      <c r="J278" s="2" t="s">
        <v>907</v>
      </c>
      <c r="K278" s="2" t="s">
        <v>21</v>
      </c>
      <c r="L278" s="2">
        <v>27835</v>
      </c>
      <c r="M278" s="2" t="s">
        <v>912</v>
      </c>
    </row>
    <row r="279" spans="1:13" ht="47.25" x14ac:dyDescent="0.25">
      <c r="A279" s="2" t="s">
        <v>902</v>
      </c>
      <c r="B279" s="2" t="s">
        <v>913</v>
      </c>
      <c r="C279" s="2" t="s">
        <v>914</v>
      </c>
      <c r="D279" s="2" t="s">
        <v>915</v>
      </c>
      <c r="E279" s="2" t="s">
        <v>17</v>
      </c>
      <c r="F279" s="2"/>
      <c r="G279" s="3" t="str">
        <f>HYPERLINK("mailto:bburns@reflector.com","bburns@reflector.com")</f>
        <v>bburns@reflector.com</v>
      </c>
      <c r="H279" s="2" t="s">
        <v>905</v>
      </c>
      <c r="I279" s="2" t="s">
        <v>906</v>
      </c>
      <c r="J279" s="2" t="s">
        <v>907</v>
      </c>
      <c r="K279" s="2" t="s">
        <v>21</v>
      </c>
      <c r="L279" s="2">
        <v>278935</v>
      </c>
      <c r="M279" s="2" t="s">
        <v>916</v>
      </c>
    </row>
    <row r="280" spans="1:13" ht="63" x14ac:dyDescent="0.25">
      <c r="A280" s="2" t="s">
        <v>902</v>
      </c>
      <c r="B280" s="2" t="s">
        <v>917</v>
      </c>
      <c r="C280" s="2" t="s">
        <v>918</v>
      </c>
      <c r="D280" s="2" t="s">
        <v>919</v>
      </c>
      <c r="E280" s="2" t="s">
        <v>17</v>
      </c>
      <c r="F280" s="3" t="str">
        <f>HYPERLINK("https://twitter.com/GingerLGDR","@GingerLGDR")</f>
        <v>@GingerLGDR</v>
      </c>
      <c r="G280" s="4" t="s">
        <v>920</v>
      </c>
      <c r="H280" s="2" t="s">
        <v>905</v>
      </c>
      <c r="I280" s="2" t="s">
        <v>906</v>
      </c>
      <c r="J280" s="2" t="s">
        <v>907</v>
      </c>
      <c r="K280" s="2" t="s">
        <v>21</v>
      </c>
      <c r="L280" s="2">
        <v>27835</v>
      </c>
      <c r="M280" s="2" t="s">
        <v>921</v>
      </c>
    </row>
    <row r="281" spans="1:13" ht="63" x14ac:dyDescent="0.25">
      <c r="A281" s="2" t="s">
        <v>902</v>
      </c>
      <c r="B281" s="2" t="s">
        <v>922</v>
      </c>
      <c r="C281" s="2" t="s">
        <v>923</v>
      </c>
      <c r="D281" s="2" t="s">
        <v>924</v>
      </c>
      <c r="E281" s="2" t="s">
        <v>17</v>
      </c>
      <c r="F281" s="3" t="s">
        <v>177</v>
      </c>
      <c r="G281" s="4" t="s">
        <v>925</v>
      </c>
      <c r="H281" s="2" t="s">
        <v>905</v>
      </c>
      <c r="I281" s="2" t="s">
        <v>906</v>
      </c>
      <c r="J281" s="2" t="s">
        <v>907</v>
      </c>
      <c r="K281" s="2" t="s">
        <v>21</v>
      </c>
      <c r="L281" s="2">
        <v>27835</v>
      </c>
      <c r="M281" s="2" t="s">
        <v>926</v>
      </c>
    </row>
    <row r="282" spans="1:13" ht="63" x14ac:dyDescent="0.25">
      <c r="A282" s="2" t="s">
        <v>902</v>
      </c>
      <c r="B282" s="2" t="s">
        <v>927</v>
      </c>
      <c r="C282" s="2" t="s">
        <v>928</v>
      </c>
      <c r="D282" s="2" t="s">
        <v>81</v>
      </c>
      <c r="E282" s="2" t="s">
        <v>17</v>
      </c>
      <c r="F282" s="2" t="s">
        <v>929</v>
      </c>
      <c r="G282" s="2" t="s">
        <v>930</v>
      </c>
      <c r="H282" s="7" t="s">
        <v>905</v>
      </c>
      <c r="I282" s="7" t="s">
        <v>906</v>
      </c>
      <c r="J282" s="7" t="s">
        <v>907</v>
      </c>
      <c r="K282" s="7" t="s">
        <v>21</v>
      </c>
      <c r="L282" s="7"/>
      <c r="M282" s="7" t="s">
        <v>931</v>
      </c>
    </row>
    <row r="283" spans="1:13" ht="63" x14ac:dyDescent="0.25">
      <c r="A283" s="2" t="s">
        <v>902</v>
      </c>
      <c r="B283" s="2" t="s">
        <v>932</v>
      </c>
      <c r="C283" s="2" t="s">
        <v>933</v>
      </c>
      <c r="D283" s="2" t="s">
        <v>934</v>
      </c>
      <c r="E283" s="2" t="s">
        <v>17</v>
      </c>
      <c r="F283" s="3" t="str">
        <f>HYPERLINK("https://twitter.com/ReflectorBV","@ReflectorBV")</f>
        <v>@ReflectorBV</v>
      </c>
      <c r="G283" s="3" t="str">
        <f>HYPERLINK("mailto:bvelliquette@reflector.com","bvelliquette@reflector.com")</f>
        <v>bvelliquette@reflector.com</v>
      </c>
      <c r="H283" s="2" t="s">
        <v>905</v>
      </c>
      <c r="I283" s="2" t="s">
        <v>906</v>
      </c>
      <c r="J283" s="2" t="s">
        <v>907</v>
      </c>
      <c r="K283" s="2" t="s">
        <v>21</v>
      </c>
      <c r="L283" s="2">
        <v>27835</v>
      </c>
      <c r="M283" s="2" t="s">
        <v>935</v>
      </c>
    </row>
    <row r="284" spans="1:13" ht="63" x14ac:dyDescent="0.25">
      <c r="A284" s="2" t="s">
        <v>902</v>
      </c>
      <c r="B284" s="7"/>
      <c r="C284" s="7"/>
      <c r="D284" s="2" t="s">
        <v>38</v>
      </c>
      <c r="E284" s="2" t="s">
        <v>17</v>
      </c>
      <c r="F284" s="2" t="s">
        <v>936</v>
      </c>
      <c r="G284" s="2" t="s">
        <v>937</v>
      </c>
      <c r="H284" s="2" t="s">
        <v>905</v>
      </c>
      <c r="I284" s="2" t="s">
        <v>906</v>
      </c>
      <c r="J284" s="2" t="s">
        <v>907</v>
      </c>
      <c r="K284" s="2" t="s">
        <v>21</v>
      </c>
      <c r="L284" s="2">
        <v>27835</v>
      </c>
      <c r="M284" s="2" t="s">
        <v>938</v>
      </c>
    </row>
    <row r="285" spans="1:13" ht="78.75" x14ac:dyDescent="0.25">
      <c r="A285" s="2" t="s">
        <v>939</v>
      </c>
      <c r="B285" s="2" t="s">
        <v>940</v>
      </c>
      <c r="C285" s="2" t="s">
        <v>941</v>
      </c>
      <c r="D285" s="2" t="s">
        <v>16</v>
      </c>
      <c r="E285" s="2" t="s">
        <v>17</v>
      </c>
      <c r="F285" s="6" t="str">
        <f>HYPERLINK("https://twitter.com/BettyRamsey73","@BettyRamsey73")</f>
        <v>@BettyRamsey73</v>
      </c>
      <c r="G285" s="3" t="str">
        <f>HYPERLINK("mailto:betty.ramsey@tryondailybulletin.com","betty.ramsey@tryondailybulletin.com")</f>
        <v>betty.ramsey@tryondailybulletin.com</v>
      </c>
      <c r="H285" s="2" t="s">
        <v>942</v>
      </c>
      <c r="I285" s="2" t="s">
        <v>943</v>
      </c>
      <c r="J285" s="2" t="s">
        <v>944</v>
      </c>
      <c r="K285" s="2" t="s">
        <v>21</v>
      </c>
      <c r="L285" s="2">
        <v>28782</v>
      </c>
      <c r="M285" s="2" t="s">
        <v>945</v>
      </c>
    </row>
    <row r="286" spans="1:13" ht="78.75" x14ac:dyDescent="0.25">
      <c r="A286" s="2" t="s">
        <v>939</v>
      </c>
      <c r="B286" s="2" t="s">
        <v>946</v>
      </c>
      <c r="C286" s="2" t="s">
        <v>947</v>
      </c>
      <c r="D286" s="2" t="s">
        <v>117</v>
      </c>
      <c r="E286" s="2" t="s">
        <v>17</v>
      </c>
      <c r="F286" s="2"/>
      <c r="G286" s="4" t="str">
        <f>HYPERLINK("mailto:claire.sachse@tryondailybulletin.com","claire.sachse@tryondailybulletin.com")</f>
        <v>claire.sachse@tryondailybulletin.com</v>
      </c>
      <c r="H286" s="2" t="s">
        <v>942</v>
      </c>
      <c r="I286" s="2" t="s">
        <v>943</v>
      </c>
      <c r="J286" s="2" t="s">
        <v>944</v>
      </c>
      <c r="K286" s="2" t="s">
        <v>21</v>
      </c>
      <c r="L286" s="2">
        <v>28782</v>
      </c>
      <c r="M286" s="2" t="s">
        <v>948</v>
      </c>
    </row>
    <row r="287" spans="1:13" ht="78.75" x14ac:dyDescent="0.25">
      <c r="A287" s="2" t="s">
        <v>939</v>
      </c>
      <c r="B287" s="2" t="s">
        <v>949</v>
      </c>
      <c r="C287" s="2" t="s">
        <v>950</v>
      </c>
      <c r="D287" s="2" t="s">
        <v>597</v>
      </c>
      <c r="E287" s="2" t="s">
        <v>17</v>
      </c>
      <c r="F287" s="2"/>
      <c r="G287" s="3" t="str">
        <f>HYPERLINK("mailto:leah.justice@tryondailybulletin.com","leah.justice@tryondailybulletin.com")</f>
        <v>leah.justice@tryondailybulletin.com</v>
      </c>
      <c r="H287" s="2" t="s">
        <v>942</v>
      </c>
      <c r="I287" s="2" t="s">
        <v>943</v>
      </c>
      <c r="J287" s="2" t="s">
        <v>944</v>
      </c>
      <c r="K287" s="2" t="s">
        <v>21</v>
      </c>
      <c r="L287" s="2">
        <v>28782</v>
      </c>
      <c r="M287" s="2" t="s">
        <v>948</v>
      </c>
    </row>
    <row r="288" spans="1:13" ht="63" x14ac:dyDescent="0.25">
      <c r="A288" s="2" t="s">
        <v>939</v>
      </c>
      <c r="B288" s="7"/>
      <c r="C288" s="7"/>
      <c r="D288" s="2" t="s">
        <v>37</v>
      </c>
      <c r="E288" s="2" t="s">
        <v>17</v>
      </c>
      <c r="F288" s="12" t="str">
        <f>HYPERLINK("https://twitter.com/tryonnews","@tryonnews")</f>
        <v>@tryonnews</v>
      </c>
      <c r="G288" s="3" t="str">
        <f>HYPERLINK("mailto:news@tryondailybulletin.com","news@tryondailybulletin.com")</f>
        <v>news@tryondailybulletin.com</v>
      </c>
      <c r="H288" s="2" t="s">
        <v>942</v>
      </c>
      <c r="I288" s="2" t="s">
        <v>943</v>
      </c>
      <c r="J288" s="2" t="s">
        <v>944</v>
      </c>
      <c r="K288" s="2" t="s">
        <v>21</v>
      </c>
      <c r="L288" s="2">
        <v>28782</v>
      </c>
      <c r="M288" s="2" t="s">
        <v>948</v>
      </c>
    </row>
    <row r="289" spans="1:13" ht="63" x14ac:dyDescent="0.25">
      <c r="A289" s="2" t="s">
        <v>951</v>
      </c>
      <c r="B289" s="2" t="s">
        <v>14</v>
      </c>
      <c r="C289" s="2" t="s">
        <v>15</v>
      </c>
      <c r="D289" s="2" t="s">
        <v>16</v>
      </c>
      <c r="E289" s="2" t="s">
        <v>17</v>
      </c>
      <c r="F289" s="3" t="str">
        <f>HYPERLINK("https://twitter.com/TNPaulMauney","@TNPaulMauney")</f>
        <v>@TNPaulMauney</v>
      </c>
      <c r="G289" s="3" t="str">
        <f>HYPERLINK("mailto:pmauney@thetimesnews.com","pmauney@thetimesnews.com")</f>
        <v>pmauney@thetimesnews.com</v>
      </c>
      <c r="H289" s="2" t="s">
        <v>952</v>
      </c>
      <c r="I289" s="2" t="s">
        <v>953</v>
      </c>
      <c r="J289" s="2" t="s">
        <v>954</v>
      </c>
      <c r="K289" s="2" t="s">
        <v>21</v>
      </c>
      <c r="L289" s="2">
        <v>27203</v>
      </c>
      <c r="M289" s="2" t="s">
        <v>955</v>
      </c>
    </row>
    <row r="290" spans="1:13" ht="78.75" x14ac:dyDescent="0.25">
      <c r="A290" s="2" t="s">
        <v>951</v>
      </c>
      <c r="B290" s="2" t="s">
        <v>956</v>
      </c>
      <c r="C290" s="2" t="s">
        <v>169</v>
      </c>
      <c r="D290" s="2" t="s">
        <v>957</v>
      </c>
      <c r="E290" s="2" t="s">
        <v>17</v>
      </c>
      <c r="F290" s="3" t="str">
        <f>HYPERLINK("https://twitter.com/AnnetteJordanCT","@AnnetteJordanCT")</f>
        <v>@AnnetteJordanCT</v>
      </c>
      <c r="G290" s="3" t="str">
        <f>HYPERLINK("mailto:ajordan@courier-tribune.com","ajordan@courier-tribune.com")</f>
        <v>ajordan@courier-tribune.com</v>
      </c>
      <c r="H290" s="2" t="s">
        <v>952</v>
      </c>
      <c r="I290" s="2" t="s">
        <v>953</v>
      </c>
      <c r="J290" s="2" t="s">
        <v>954</v>
      </c>
      <c r="K290" s="2" t="s">
        <v>21</v>
      </c>
      <c r="L290" s="2">
        <v>27203</v>
      </c>
      <c r="M290" s="2" t="s">
        <v>958</v>
      </c>
    </row>
    <row r="291" spans="1:13" ht="78.75" x14ac:dyDescent="0.25">
      <c r="A291" s="2" t="s">
        <v>951</v>
      </c>
      <c r="B291" s="2" t="s">
        <v>546</v>
      </c>
      <c r="C291" s="2" t="s">
        <v>959</v>
      </c>
      <c r="D291" s="2" t="s">
        <v>157</v>
      </c>
      <c r="E291" s="2" t="s">
        <v>17</v>
      </c>
      <c r="F291" s="3" t="str">
        <f>HYPERLINK("https://twitter.com/larrypenkavact?lang=en","@LarryPenkavaCT")</f>
        <v>@LarryPenkavaCT</v>
      </c>
      <c r="G291" s="3" t="str">
        <f>HYPERLINK("mailto:lpenkava@courier-tribune.com","lpenkava@courier-tribune.com")</f>
        <v>lpenkava@courier-tribune.com</v>
      </c>
      <c r="H291" s="2" t="s">
        <v>952</v>
      </c>
      <c r="I291" s="2" t="s">
        <v>953</v>
      </c>
      <c r="J291" s="2" t="s">
        <v>954</v>
      </c>
      <c r="K291" s="2" t="s">
        <v>21</v>
      </c>
      <c r="L291" s="2">
        <v>27203</v>
      </c>
      <c r="M291" s="2"/>
    </row>
    <row r="292" spans="1:13" ht="78.75" x14ac:dyDescent="0.25">
      <c r="A292" s="2" t="s">
        <v>951</v>
      </c>
      <c r="B292" s="2" t="s">
        <v>960</v>
      </c>
      <c r="C292" s="2" t="s">
        <v>961</v>
      </c>
      <c r="D292" s="2" t="s">
        <v>33</v>
      </c>
      <c r="E292" s="2" t="s">
        <v>17</v>
      </c>
      <c r="F292" s="3" t="str">
        <f>HYPERLINK("https://twitter.com/JudiBrinegarCT","@JudiBrinegarCT")</f>
        <v>@JudiBrinegarCT</v>
      </c>
      <c r="G292" s="3" t="str">
        <f>HYPERLINK("mailto:jbrinegar@courier-tribune.com","jbrinegar@courier-tribune.com")</f>
        <v>jbrinegar@courier-tribune.com</v>
      </c>
      <c r="H292" s="2" t="s">
        <v>952</v>
      </c>
      <c r="I292" s="2" t="s">
        <v>953</v>
      </c>
      <c r="J292" s="2" t="s">
        <v>954</v>
      </c>
      <c r="K292" s="2" t="s">
        <v>21</v>
      </c>
      <c r="L292" s="2">
        <v>27203</v>
      </c>
      <c r="M292" s="7"/>
    </row>
    <row r="293" spans="1:13" ht="78.75" x14ac:dyDescent="0.25">
      <c r="A293" s="2" t="s">
        <v>951</v>
      </c>
      <c r="B293" s="2" t="s">
        <v>962</v>
      </c>
      <c r="C293" s="2" t="s">
        <v>963</v>
      </c>
      <c r="D293" s="2" t="s">
        <v>33</v>
      </c>
      <c r="E293" s="2" t="s">
        <v>17</v>
      </c>
      <c r="F293" s="3" t="str">
        <f>HYPERLINK("https://twitter.com/ChipWomickCT","@ChipWomickCT")</f>
        <v>@ChipWomickCT</v>
      </c>
      <c r="G293" s="3" t="str">
        <f>HYPERLINK("mailto:cwomick@courier-tribune.com","cwomick@courier-tribune.com")</f>
        <v>cwomick@courier-tribune.com</v>
      </c>
      <c r="H293" s="2" t="s">
        <v>952</v>
      </c>
      <c r="I293" s="2" t="s">
        <v>953</v>
      </c>
      <c r="J293" s="2" t="s">
        <v>954</v>
      </c>
      <c r="K293" s="2" t="s">
        <v>21</v>
      </c>
      <c r="L293" s="2">
        <v>27203</v>
      </c>
      <c r="M293" s="2" t="s">
        <v>964</v>
      </c>
    </row>
    <row r="294" spans="1:13" ht="78.75" x14ac:dyDescent="0.25">
      <c r="A294" s="2" t="s">
        <v>951</v>
      </c>
      <c r="B294" s="7"/>
      <c r="C294" s="7"/>
      <c r="D294" s="2" t="s">
        <v>37</v>
      </c>
      <c r="E294" s="2" t="s">
        <v>17</v>
      </c>
      <c r="F294" s="3" t="str">
        <f>HYPERLINK("https://twitter.com/Courier_Tribune","@Courier_Tribune")</f>
        <v>@Courier_Tribune</v>
      </c>
      <c r="G294" s="3" t="str">
        <f>HYPERLINK("mailto:ajordan@courier-tribune.com","ajordan@courier-tribune.com")</f>
        <v>ajordan@courier-tribune.com</v>
      </c>
      <c r="H294" s="2" t="s">
        <v>952</v>
      </c>
      <c r="I294" s="2" t="s">
        <v>953</v>
      </c>
      <c r="J294" s="2" t="s">
        <v>954</v>
      </c>
      <c r="K294" s="2" t="s">
        <v>21</v>
      </c>
      <c r="L294" s="2">
        <v>27203</v>
      </c>
      <c r="M294" s="2" t="s">
        <v>965</v>
      </c>
    </row>
    <row r="295" spans="1:13" ht="78.75" x14ac:dyDescent="0.25">
      <c r="A295" s="2" t="s">
        <v>951</v>
      </c>
      <c r="B295" s="7"/>
      <c r="C295" s="7"/>
      <c r="D295" s="2" t="s">
        <v>38</v>
      </c>
      <c r="E295" s="2" t="s">
        <v>17</v>
      </c>
      <c r="F295" s="3" t="str">
        <f>HYPERLINK("https://twitter.com/Courier_Tribune","@Courier_Tribune")</f>
        <v>@Courier_Tribune</v>
      </c>
      <c r="G295" s="3" t="str">
        <f>HYPERLINK("mailto:ajordan@courier-tribune.com","ajordan@courier-tribune.com")</f>
        <v>ajordan@courier-tribune.com</v>
      </c>
      <c r="H295" s="2" t="s">
        <v>952</v>
      </c>
      <c r="I295" s="2" t="s">
        <v>953</v>
      </c>
      <c r="J295" s="2" t="s">
        <v>954</v>
      </c>
      <c r="K295" s="2" t="s">
        <v>21</v>
      </c>
      <c r="L295" s="2">
        <v>27203</v>
      </c>
      <c r="M295" s="2" t="s">
        <v>965</v>
      </c>
    </row>
    <row r="296" spans="1:13" ht="78.75" x14ac:dyDescent="0.25">
      <c r="A296" s="2" t="s">
        <v>966</v>
      </c>
      <c r="B296" s="2" t="s">
        <v>967</v>
      </c>
      <c r="C296" s="2" t="s">
        <v>968</v>
      </c>
      <c r="D296" s="2" t="s">
        <v>117</v>
      </c>
      <c r="E296" s="2" t="s">
        <v>17</v>
      </c>
      <c r="F296" s="2"/>
      <c r="G296" s="3" t="str">
        <f>HYPERLINK("mailto:wtoler@yourdailyjournal.com","wtoler@yourdailyjournal.com")</f>
        <v>wtoler@yourdailyjournal.com</v>
      </c>
      <c r="H296" s="2" t="s">
        <v>969</v>
      </c>
      <c r="I296" s="2" t="s">
        <v>970</v>
      </c>
      <c r="J296" s="2" t="s">
        <v>971</v>
      </c>
      <c r="K296" s="2" t="s">
        <v>21</v>
      </c>
      <c r="L296" s="2">
        <v>28379</v>
      </c>
      <c r="M296" s="2" t="s">
        <v>972</v>
      </c>
    </row>
    <row r="297" spans="1:13" ht="78.75" x14ac:dyDescent="0.25">
      <c r="A297" s="2" t="s">
        <v>966</v>
      </c>
      <c r="B297" s="2" t="s">
        <v>973</v>
      </c>
      <c r="C297" s="2" t="s">
        <v>974</v>
      </c>
      <c r="D297" s="2" t="s">
        <v>33</v>
      </c>
      <c r="E297" s="2" t="s">
        <v>17</v>
      </c>
      <c r="F297" s="2"/>
      <c r="G297" s="3" t="str">
        <f>HYPERLINK("mailto:christinecarroll@yourdailyjournal.com","christinecarroll@yourdailyjournal.com")</f>
        <v>christinecarroll@yourdailyjournal.com</v>
      </c>
      <c r="H297" s="2" t="s">
        <v>969</v>
      </c>
      <c r="I297" s="2" t="s">
        <v>970</v>
      </c>
      <c r="J297" s="2" t="s">
        <v>971</v>
      </c>
      <c r="K297" s="2" t="s">
        <v>21</v>
      </c>
      <c r="L297" s="2">
        <v>28379</v>
      </c>
      <c r="M297" s="2" t="s">
        <v>975</v>
      </c>
    </row>
    <row r="298" spans="1:13" ht="78.75" x14ac:dyDescent="0.25">
      <c r="A298" s="2" t="s">
        <v>966</v>
      </c>
      <c r="B298" s="7"/>
      <c r="C298" s="7"/>
      <c r="D298" s="2" t="s">
        <v>37</v>
      </c>
      <c r="E298" s="2" t="s">
        <v>17</v>
      </c>
      <c r="F298" s="3" t="str">
        <f>HYPERLINK("https://twitter.com/RCDailyJournal","@RCDailyJournal")</f>
        <v>@RCDailyJournal</v>
      </c>
      <c r="G298" s="3" t="str">
        <f>HYPERLINK("mailto:news@civitasmedia.com","news@civitasmedia.com")</f>
        <v>news@civitasmedia.com</v>
      </c>
      <c r="H298" s="2" t="s">
        <v>969</v>
      </c>
      <c r="I298" s="2" t="s">
        <v>970</v>
      </c>
      <c r="J298" s="2" t="s">
        <v>971</v>
      </c>
      <c r="K298" s="2" t="s">
        <v>21</v>
      </c>
      <c r="L298" s="2">
        <v>28379</v>
      </c>
      <c r="M298" s="2" t="s">
        <v>976</v>
      </c>
    </row>
    <row r="299" spans="1:13" ht="78.75" x14ac:dyDescent="0.25">
      <c r="A299" s="2" t="s">
        <v>966</v>
      </c>
      <c r="B299" s="7"/>
      <c r="C299" s="7"/>
      <c r="D299" s="2" t="s">
        <v>38</v>
      </c>
      <c r="E299" s="2" t="s">
        <v>17</v>
      </c>
      <c r="F299" s="3" t="str">
        <f>HYPERLINK("https://twitter.com/RCDailyJournal","@RCDailyJournal")</f>
        <v>@RCDailyJournal</v>
      </c>
      <c r="G299" s="6" t="str">
        <f>HYPERLINK("mailto:wtoler@civitasmedia.com","wtoler@civitasmedia.com")</f>
        <v>wtoler@civitasmedia.com</v>
      </c>
      <c r="H299" s="2" t="s">
        <v>969</v>
      </c>
      <c r="I299" s="2" t="s">
        <v>970</v>
      </c>
      <c r="J299" s="2" t="s">
        <v>971</v>
      </c>
      <c r="K299" s="2" t="s">
        <v>21</v>
      </c>
      <c r="L299" s="2">
        <v>28379</v>
      </c>
      <c r="M299" s="2" t="s">
        <v>976</v>
      </c>
    </row>
    <row r="300" spans="1:13" ht="47.25" x14ac:dyDescent="0.25">
      <c r="A300" s="2" t="s">
        <v>977</v>
      </c>
      <c r="B300" s="2" t="s">
        <v>978</v>
      </c>
      <c r="C300" s="2" t="s">
        <v>453</v>
      </c>
      <c r="D300" s="2" t="s">
        <v>16</v>
      </c>
      <c r="E300" s="2" t="s">
        <v>17</v>
      </c>
      <c r="F300" s="2"/>
      <c r="G300" s="3" t="str">
        <f>HYPERLINK("mailto:dward@civitasmedia.com","dward@civitasmedia.com")</f>
        <v>dward@civitasmedia.com</v>
      </c>
      <c r="H300" s="2" t="s">
        <v>979</v>
      </c>
      <c r="I300" s="2" t="s">
        <v>980</v>
      </c>
      <c r="J300" s="2" t="s">
        <v>981</v>
      </c>
      <c r="K300" s="2" t="s">
        <v>21</v>
      </c>
      <c r="L300" s="2">
        <v>28359</v>
      </c>
      <c r="M300" s="2" t="s">
        <v>982</v>
      </c>
    </row>
    <row r="301" spans="1:13" ht="63" x14ac:dyDescent="0.25">
      <c r="A301" s="2" t="s">
        <v>977</v>
      </c>
      <c r="B301" s="2" t="s">
        <v>983</v>
      </c>
      <c r="C301" s="2" t="s">
        <v>704</v>
      </c>
      <c r="D301" s="2" t="s">
        <v>25</v>
      </c>
      <c r="E301" s="2" t="s">
        <v>17</v>
      </c>
      <c r="F301" s="2"/>
      <c r="G301" s="3" t="str">
        <f>HYPERLINK("mailto:ddouglas@civitasmedia.com","ddouglas@civitasmedia.com")</f>
        <v>ddouglas@civitasmedia.com</v>
      </c>
      <c r="H301" s="2" t="s">
        <v>979</v>
      </c>
      <c r="I301" s="2" t="s">
        <v>980</v>
      </c>
      <c r="J301" s="2" t="s">
        <v>981</v>
      </c>
      <c r="K301" s="2" t="s">
        <v>21</v>
      </c>
      <c r="L301" s="2">
        <v>28359</v>
      </c>
      <c r="M301" s="2" t="s">
        <v>984</v>
      </c>
    </row>
    <row r="302" spans="1:13" ht="63" x14ac:dyDescent="0.25">
      <c r="A302" s="2" t="s">
        <v>977</v>
      </c>
      <c r="B302" s="2" t="s">
        <v>985</v>
      </c>
      <c r="C302" s="2" t="s">
        <v>986</v>
      </c>
      <c r="D302" s="2" t="s">
        <v>987</v>
      </c>
      <c r="E302" s="2" t="s">
        <v>17</v>
      </c>
      <c r="F302" s="3" t="str">
        <f>HYPERLINK("https://twitter.com/BobShiles","@BobShiles")</f>
        <v>@BobShiles</v>
      </c>
      <c r="G302" s="3" t="str">
        <f>HYPERLINK("mailto:bshiles@civitasmedia.com","bshiles@civitasmedia.com")</f>
        <v>bshiles@civitasmedia.com</v>
      </c>
      <c r="H302" s="2" t="s">
        <v>979</v>
      </c>
      <c r="I302" s="2" t="s">
        <v>980</v>
      </c>
      <c r="J302" s="2" t="s">
        <v>981</v>
      </c>
      <c r="K302" s="2" t="s">
        <v>21</v>
      </c>
      <c r="L302" s="2">
        <v>28359</v>
      </c>
      <c r="M302" s="2" t="s">
        <v>988</v>
      </c>
    </row>
    <row r="303" spans="1:13" ht="47.25" x14ac:dyDescent="0.25">
      <c r="A303" s="2" t="s">
        <v>977</v>
      </c>
      <c r="B303" s="2" t="s">
        <v>989</v>
      </c>
      <c r="C303" s="2" t="s">
        <v>822</v>
      </c>
      <c r="D303" s="2" t="s">
        <v>33</v>
      </c>
      <c r="E303" s="2" t="s">
        <v>17</v>
      </c>
      <c r="F303" s="3"/>
      <c r="G303" s="13" t="s">
        <v>177</v>
      </c>
      <c r="H303" s="2" t="s">
        <v>979</v>
      </c>
      <c r="I303" s="2" t="s">
        <v>980</v>
      </c>
      <c r="J303" s="2" t="s">
        <v>981</v>
      </c>
      <c r="K303" s="2" t="s">
        <v>21</v>
      </c>
      <c r="L303" s="2">
        <v>28359</v>
      </c>
      <c r="M303" s="2" t="s">
        <v>990</v>
      </c>
    </row>
    <row r="304" spans="1:13" ht="47.25" x14ac:dyDescent="0.25">
      <c r="A304" s="2" t="s">
        <v>977</v>
      </c>
      <c r="B304" s="7"/>
      <c r="C304" s="7"/>
      <c r="D304" s="2" t="s">
        <v>37</v>
      </c>
      <c r="E304" s="2" t="s">
        <v>17</v>
      </c>
      <c r="F304" s="3" t="str">
        <f>HYPERLINK("https://twitter.com/The_Robesonian","@The_Robesonian")</f>
        <v>@The_Robesonian</v>
      </c>
      <c r="G304" s="2"/>
      <c r="H304" s="2" t="s">
        <v>979</v>
      </c>
      <c r="I304" s="2" t="s">
        <v>980</v>
      </c>
      <c r="J304" s="2" t="s">
        <v>981</v>
      </c>
      <c r="K304" s="2" t="s">
        <v>21</v>
      </c>
      <c r="L304" s="2">
        <v>28359</v>
      </c>
      <c r="M304" s="2" t="s">
        <v>991</v>
      </c>
    </row>
    <row r="305" spans="1:13" ht="63" x14ac:dyDescent="0.25">
      <c r="A305" s="2" t="s">
        <v>992</v>
      </c>
      <c r="B305" s="2" t="s">
        <v>294</v>
      </c>
      <c r="C305" s="2" t="s">
        <v>993</v>
      </c>
      <c r="D305" s="2" t="s">
        <v>16</v>
      </c>
      <c r="E305" s="2" t="s">
        <v>17</v>
      </c>
      <c r="F305" s="2"/>
      <c r="G305" s="3" t="str">
        <f>HYPERLINK("mailto:greg.anderson@salisburypost.com","greg.anderson@salisburypost.com")</f>
        <v>greg.anderson@salisburypost.com</v>
      </c>
      <c r="H305" s="2" t="s">
        <v>994</v>
      </c>
      <c r="I305" s="2" t="s">
        <v>995</v>
      </c>
      <c r="J305" s="2" t="s">
        <v>996</v>
      </c>
      <c r="K305" s="2" t="s">
        <v>21</v>
      </c>
      <c r="L305" s="2">
        <v>28144</v>
      </c>
      <c r="M305" s="2"/>
    </row>
    <row r="306" spans="1:13" ht="63" x14ac:dyDescent="0.25">
      <c r="A306" s="2" t="s">
        <v>992</v>
      </c>
      <c r="B306" s="2" t="s">
        <v>997</v>
      </c>
      <c r="C306" s="2" t="s">
        <v>998</v>
      </c>
      <c r="D306" s="2" t="s">
        <v>25</v>
      </c>
      <c r="E306" s="2" t="s">
        <v>17</v>
      </c>
      <c r="F306" s="3" t="str">
        <f>HYPERLINK("https://twitter.com/elizcook","@ElizCook")</f>
        <v>@ElizCook</v>
      </c>
      <c r="G306" s="3" t="str">
        <f>HYPERLINK("mailto:editor@salisburypost.com","editor@salisburypost.com")</f>
        <v>editor@salisburypost.com</v>
      </c>
      <c r="H306" s="2" t="s">
        <v>994</v>
      </c>
      <c r="I306" s="2" t="s">
        <v>995</v>
      </c>
      <c r="J306" s="2" t="s">
        <v>996</v>
      </c>
      <c r="K306" s="2" t="s">
        <v>21</v>
      </c>
      <c r="L306" s="2">
        <v>28144</v>
      </c>
      <c r="M306" s="2" t="s">
        <v>999</v>
      </c>
    </row>
    <row r="307" spans="1:13" ht="63" x14ac:dyDescent="0.25">
      <c r="A307" s="2" t="s">
        <v>992</v>
      </c>
      <c r="B307" s="2" t="s">
        <v>1000</v>
      </c>
      <c r="C307" s="2" t="s">
        <v>1001</v>
      </c>
      <c r="D307" s="2" t="s">
        <v>1002</v>
      </c>
      <c r="E307" s="2" t="s">
        <v>17</v>
      </c>
      <c r="F307" s="3" t="str">
        <f>HYPERLINK("https://twitter.com/dpssalpost","@dpssalpost")</f>
        <v>@dpssalpost</v>
      </c>
      <c r="G307" s="3" t="str">
        <f>HYPERLINK("mailto:deirdre.smith@salisburypost.com","deirdre.smith@salisburypost.com")</f>
        <v>deirdre.smith@salisburypost.com</v>
      </c>
      <c r="H307" s="2" t="s">
        <v>994</v>
      </c>
      <c r="I307" s="2" t="s">
        <v>995</v>
      </c>
      <c r="J307" s="2" t="s">
        <v>996</v>
      </c>
      <c r="K307" s="2" t="s">
        <v>21</v>
      </c>
      <c r="L307" s="2">
        <v>28144</v>
      </c>
      <c r="M307" s="2" t="s">
        <v>1003</v>
      </c>
    </row>
    <row r="308" spans="1:13" ht="63" x14ac:dyDescent="0.25">
      <c r="A308" s="2" t="s">
        <v>992</v>
      </c>
      <c r="B308" s="2" t="s">
        <v>67</v>
      </c>
      <c r="C308" s="2" t="s">
        <v>1004</v>
      </c>
      <c r="D308" s="2" t="s">
        <v>324</v>
      </c>
      <c r="E308" s="2" t="s">
        <v>17</v>
      </c>
      <c r="F308" s="6" t="str">
        <f>HYPERLINK("https://twitter.com/markwineka","@markwineka")</f>
        <v>@markwineka</v>
      </c>
      <c r="G308" s="3" t="str">
        <f>HYPERLINK("mailto:?subject=","mark.wineka@salisburypost.com")</f>
        <v>mark.wineka@salisburypost.com</v>
      </c>
      <c r="H308" s="2" t="s">
        <v>994</v>
      </c>
      <c r="I308" s="2" t="s">
        <v>995</v>
      </c>
      <c r="J308" s="2" t="s">
        <v>996</v>
      </c>
      <c r="K308" s="2" t="s">
        <v>21</v>
      </c>
      <c r="L308" s="2">
        <v>28144</v>
      </c>
      <c r="M308" s="2"/>
    </row>
    <row r="309" spans="1:13" ht="78.75" x14ac:dyDescent="0.25">
      <c r="A309" s="2" t="s">
        <v>992</v>
      </c>
      <c r="B309" s="2" t="s">
        <v>1005</v>
      </c>
      <c r="C309" s="2" t="s">
        <v>1006</v>
      </c>
      <c r="D309" s="2" t="s">
        <v>192</v>
      </c>
      <c r="E309" s="2" t="s">
        <v>17</v>
      </c>
      <c r="F309" s="3" t="str">
        <f>HYPERLINK("https://twitter.com/salpostpotts?lang=en","@salpostpotts")</f>
        <v>@salpostpotts</v>
      </c>
      <c r="G309" s="3" t="str">
        <f>HYPERLINK("mailto:shavonne.walker@salisburypost.com","shavonne.walker@salisburypost.com")</f>
        <v>shavonne.walker@salisburypost.com</v>
      </c>
      <c r="H309" s="2" t="s">
        <v>994</v>
      </c>
      <c r="I309" s="2" t="s">
        <v>995</v>
      </c>
      <c r="J309" s="2" t="s">
        <v>996</v>
      </c>
      <c r="K309" s="2" t="s">
        <v>21</v>
      </c>
      <c r="L309" s="2">
        <v>28144</v>
      </c>
      <c r="M309" s="2" t="s">
        <v>1007</v>
      </c>
    </row>
    <row r="310" spans="1:13" ht="63" x14ac:dyDescent="0.25">
      <c r="A310" s="2" t="s">
        <v>992</v>
      </c>
      <c r="B310" s="7"/>
      <c r="C310" s="7"/>
      <c r="D310" s="2" t="s">
        <v>38</v>
      </c>
      <c r="E310" s="2" t="s">
        <v>17</v>
      </c>
      <c r="F310" s="3" t="str">
        <f>HYPERLINK("https://twitter.com/salisburypost","@salisburypost")</f>
        <v>@salisburypost</v>
      </c>
      <c r="G310" s="3" t="str">
        <f>HYPERLINK("mailto:letters@salisburypost.com","letters@salisburypost.com")</f>
        <v>letters@salisburypost.com</v>
      </c>
      <c r="H310" s="2" t="s">
        <v>994</v>
      </c>
      <c r="I310" s="2" t="s">
        <v>995</v>
      </c>
      <c r="J310" s="2" t="s">
        <v>996</v>
      </c>
      <c r="K310" s="2" t="s">
        <v>21</v>
      </c>
      <c r="L310" s="2">
        <v>28144</v>
      </c>
      <c r="M310" s="5" t="s">
        <v>1008</v>
      </c>
    </row>
    <row r="311" spans="1:13" ht="47.25" x14ac:dyDescent="0.25">
      <c r="A311" s="2" t="s">
        <v>992</v>
      </c>
      <c r="B311" s="7"/>
      <c r="C311" s="7"/>
      <c r="D311" s="2" t="s">
        <v>37</v>
      </c>
      <c r="E311" s="2" t="s">
        <v>17</v>
      </c>
      <c r="F311" s="3" t="str">
        <f>HYPERLINK("https://twitter.com/salisburypost","@salisburypost")</f>
        <v>@salisburypost</v>
      </c>
      <c r="G311" s="3" t="str">
        <f>HYPERLINK("mailto:news@salisburypost.com","news@salisburypost.com")</f>
        <v>news@salisburypost.com</v>
      </c>
      <c r="H311" s="2" t="s">
        <v>994</v>
      </c>
      <c r="I311" s="2" t="s">
        <v>1009</v>
      </c>
      <c r="J311" s="2" t="s">
        <v>996</v>
      </c>
      <c r="K311" s="2" t="s">
        <v>21</v>
      </c>
      <c r="L311" s="2">
        <v>28144</v>
      </c>
      <c r="M311" s="2" t="s">
        <v>1008</v>
      </c>
    </row>
    <row r="312" spans="1:13" ht="63" x14ac:dyDescent="0.25">
      <c r="A312" s="2" t="s">
        <v>1010</v>
      </c>
      <c r="B312" s="2" t="s">
        <v>1011</v>
      </c>
      <c r="C312" s="2" t="s">
        <v>1012</v>
      </c>
      <c r="D312" s="2" t="s">
        <v>16</v>
      </c>
      <c r="E312" s="2" t="s">
        <v>17</v>
      </c>
      <c r="F312" s="2"/>
      <c r="G312" s="3" t="str">
        <f>HYPERLINK("mailto:lspurling@thedigitalcourier.com","lspurling@thedigitalcourier.com")</f>
        <v>lspurling@thedigitalcourier.com</v>
      </c>
      <c r="H312" s="2" t="s">
        <v>1013</v>
      </c>
      <c r="I312" s="2" t="s">
        <v>1014</v>
      </c>
      <c r="J312" s="2" t="s">
        <v>1015</v>
      </c>
      <c r="K312" s="2" t="s">
        <v>21</v>
      </c>
      <c r="L312" s="2">
        <v>28043</v>
      </c>
      <c r="M312" s="2" t="s">
        <v>1016</v>
      </c>
    </row>
    <row r="313" spans="1:13" ht="63" x14ac:dyDescent="0.25">
      <c r="A313" s="2" t="s">
        <v>1010</v>
      </c>
      <c r="B313" s="2" t="s">
        <v>1017</v>
      </c>
      <c r="C313" s="2" t="s">
        <v>671</v>
      </c>
      <c r="D313" s="2" t="s">
        <v>25</v>
      </c>
      <c r="E313" s="2" t="s">
        <v>17</v>
      </c>
      <c r="F313" s="2"/>
      <c r="G313" s="3" t="str">
        <f>HYPERLINK("mailto:jgordon@thedigitalcourier.com","jgordon@thedigitalcourier.com")</f>
        <v>jgordon@thedigitalcourier.com</v>
      </c>
      <c r="H313" s="2" t="s">
        <v>1013</v>
      </c>
      <c r="I313" s="2" t="s">
        <v>1014</v>
      </c>
      <c r="J313" s="2" t="s">
        <v>1015</v>
      </c>
      <c r="K313" s="2" t="s">
        <v>21</v>
      </c>
      <c r="L313" s="2">
        <v>28043</v>
      </c>
      <c r="M313" s="2" t="s">
        <v>1018</v>
      </c>
    </row>
    <row r="314" spans="1:13" ht="63" x14ac:dyDescent="0.25">
      <c r="A314" s="2" t="s">
        <v>1010</v>
      </c>
      <c r="B314" s="2" t="s">
        <v>1019</v>
      </c>
      <c r="C314" s="2" t="s">
        <v>1020</v>
      </c>
      <c r="D314" s="2" t="s">
        <v>33</v>
      </c>
      <c r="E314" s="2" t="s">
        <v>17</v>
      </c>
      <c r="F314" s="3" t="s">
        <v>177</v>
      </c>
      <c r="G314" s="4" t="s">
        <v>1021</v>
      </c>
      <c r="H314" s="2" t="s">
        <v>1013</v>
      </c>
      <c r="I314" s="2" t="s">
        <v>1014</v>
      </c>
      <c r="J314" s="2" t="s">
        <v>1015</v>
      </c>
      <c r="K314" s="2" t="s">
        <v>21</v>
      </c>
      <c r="L314" s="2">
        <v>28043</v>
      </c>
      <c r="M314" s="2" t="s">
        <v>1022</v>
      </c>
    </row>
    <row r="315" spans="1:13" ht="63" x14ac:dyDescent="0.25">
      <c r="A315" s="2" t="s">
        <v>1010</v>
      </c>
      <c r="B315" s="2" t="s">
        <v>116</v>
      </c>
      <c r="C315" s="2" t="s">
        <v>461</v>
      </c>
      <c r="D315" s="2" t="s">
        <v>33</v>
      </c>
      <c r="E315" s="2" t="s">
        <v>17</v>
      </c>
      <c r="F315" s="2"/>
      <c r="G315" s="3" t="str">
        <f>HYPERLINK("mailto:tjohnson@thedigitalcourier.com","tjohnson@thedigitalcourier.com")</f>
        <v>tjohnson@thedigitalcourier.com</v>
      </c>
      <c r="H315" s="2" t="s">
        <v>1013</v>
      </c>
      <c r="I315" s="2" t="s">
        <v>1014</v>
      </c>
      <c r="J315" s="2" t="s">
        <v>1015</v>
      </c>
      <c r="K315" s="2" t="s">
        <v>21</v>
      </c>
      <c r="L315" s="2">
        <v>28043</v>
      </c>
      <c r="M315" s="2" t="s">
        <v>1023</v>
      </c>
    </row>
    <row r="316" spans="1:13" ht="63" x14ac:dyDescent="0.25">
      <c r="A316" s="2" t="s">
        <v>1010</v>
      </c>
      <c r="B316" s="7"/>
      <c r="C316" s="7"/>
      <c r="D316" s="2" t="s">
        <v>38</v>
      </c>
      <c r="E316" s="2" t="s">
        <v>17</v>
      </c>
      <c r="F316" s="2"/>
      <c r="G316" s="3" t="str">
        <f>HYPERLINK("mailto:jgordon@thedigitalcourier.com","jgordon@thedigitalcourier.com")</f>
        <v>jgordon@thedigitalcourier.com</v>
      </c>
      <c r="H316" s="2" t="s">
        <v>1013</v>
      </c>
      <c r="I316" s="2" t="s">
        <v>1014</v>
      </c>
      <c r="J316" s="2" t="s">
        <v>1015</v>
      </c>
      <c r="K316" s="2" t="s">
        <v>21</v>
      </c>
      <c r="L316" s="2">
        <v>28043</v>
      </c>
      <c r="M316" s="2" t="s">
        <v>1018</v>
      </c>
    </row>
    <row r="317" spans="1:13" ht="78.75" x14ac:dyDescent="0.25">
      <c r="A317" s="2" t="s">
        <v>1010</v>
      </c>
      <c r="B317" s="7"/>
      <c r="C317" s="7"/>
      <c r="D317" s="2" t="s">
        <v>1024</v>
      </c>
      <c r="E317" s="2" t="s">
        <v>17</v>
      </c>
      <c r="F317" s="3" t="str">
        <f>HYPERLINK("https://twitter.com/fcdcourier?lang=en","@FCDCourier")</f>
        <v>@FCDCourier</v>
      </c>
      <c r="G317" s="3" t="str">
        <f>HYPERLINK("mailto:thedailycourier@thedigitalcourier.com","thedailycourier@thedigitalcourier.com")</f>
        <v>thedailycourier@thedigitalcourier.com</v>
      </c>
      <c r="H317" s="2" t="s">
        <v>1013</v>
      </c>
      <c r="I317" s="2" t="s">
        <v>1014</v>
      </c>
      <c r="J317" s="2" t="s">
        <v>1015</v>
      </c>
      <c r="K317" s="2" t="s">
        <v>21</v>
      </c>
      <c r="L317" s="2">
        <v>28043</v>
      </c>
      <c r="M317" s="2" t="s">
        <v>1025</v>
      </c>
    </row>
    <row r="318" spans="1:13" ht="63" x14ac:dyDescent="0.25">
      <c r="A318" s="2" t="s">
        <v>1026</v>
      </c>
      <c r="B318" s="2" t="s">
        <v>636</v>
      </c>
      <c r="C318" s="2" t="s">
        <v>1027</v>
      </c>
      <c r="D318" s="2" t="s">
        <v>1028</v>
      </c>
      <c r="E318" s="2" t="s">
        <v>17</v>
      </c>
      <c r="F318" s="3" t="str">
        <f>HYPERLINK("https://twitter.com/sieditor1960?lang=en","@sieditor1960")</f>
        <v>@sieditor1960</v>
      </c>
      <c r="G318" s="3" t="str">
        <f>HYPERLINK("mailto:smatthews@civitasmedia.com","smatthews@civitasmedia.com")</f>
        <v>smatthews@civitasmedia.com</v>
      </c>
      <c r="H318" s="2" t="s">
        <v>1029</v>
      </c>
      <c r="I318" s="2" t="s">
        <v>1030</v>
      </c>
      <c r="J318" s="2" t="s">
        <v>1031</v>
      </c>
      <c r="K318" s="2" t="s">
        <v>21</v>
      </c>
      <c r="L318" s="2">
        <v>28328</v>
      </c>
      <c r="M318" s="2" t="s">
        <v>1032</v>
      </c>
    </row>
    <row r="319" spans="1:13" ht="47.25" x14ac:dyDescent="0.25">
      <c r="A319" s="2" t="s">
        <v>1026</v>
      </c>
      <c r="B319" s="2" t="s">
        <v>237</v>
      </c>
      <c r="C319" s="2" t="s">
        <v>1033</v>
      </c>
      <c r="D319" s="2" t="s">
        <v>117</v>
      </c>
      <c r="E319" s="2" t="s">
        <v>17</v>
      </c>
      <c r="F319" s="3" t="str">
        <f>HYPERLINK("https://twitter.com/sampsonind?lang=en","@SampsonInd")</f>
        <v>@SampsonInd</v>
      </c>
      <c r="G319" s="3" t="str">
        <f>HYPERLINK("mailto:cberendt@clintonnc.com","cberendt@clintonnc.com")</f>
        <v>cberendt@clintonnc.com</v>
      </c>
      <c r="H319" s="2" t="s">
        <v>1029</v>
      </c>
      <c r="I319" s="2" t="s">
        <v>1030</v>
      </c>
      <c r="J319" s="2" t="s">
        <v>1031</v>
      </c>
      <c r="K319" s="2" t="s">
        <v>21</v>
      </c>
      <c r="L319" s="2">
        <v>28328</v>
      </c>
      <c r="M319" s="2" t="s">
        <v>1034</v>
      </c>
    </row>
    <row r="320" spans="1:13" ht="47.25" x14ac:dyDescent="0.25">
      <c r="A320" s="2" t="s">
        <v>1026</v>
      </c>
      <c r="B320" s="2" t="s">
        <v>1035</v>
      </c>
      <c r="C320" s="2" t="s">
        <v>169</v>
      </c>
      <c r="D320" s="2" t="s">
        <v>384</v>
      </c>
      <c r="E320" s="2" t="s">
        <v>17</v>
      </c>
      <c r="F320" s="2"/>
      <c r="G320" s="3" t="str">
        <f>HYPERLINK("mailto:cjordan@clintonnc.com","cjordan@clintonnc.com")</f>
        <v>cjordan@clintonnc.com</v>
      </c>
      <c r="H320" s="2" t="s">
        <v>1029</v>
      </c>
      <c r="I320" s="2" t="s">
        <v>1030</v>
      </c>
      <c r="J320" s="2" t="s">
        <v>1031</v>
      </c>
      <c r="K320" s="2" t="s">
        <v>21</v>
      </c>
      <c r="L320" s="2">
        <v>28328</v>
      </c>
      <c r="M320" s="2" t="s">
        <v>1036</v>
      </c>
    </row>
    <row r="321" spans="1:13" ht="63" x14ac:dyDescent="0.25">
      <c r="A321" s="2" t="s">
        <v>1026</v>
      </c>
      <c r="B321" s="2" t="s">
        <v>1037</v>
      </c>
      <c r="C321" s="2" t="s">
        <v>1038</v>
      </c>
      <c r="D321" s="2" t="s">
        <v>33</v>
      </c>
      <c r="E321" s="7" t="s">
        <v>17</v>
      </c>
      <c r="F321" s="2"/>
      <c r="G321" s="11" t="str">
        <f>HYPERLINK("mailto:kcarter@clintonnc.com","kcarter@clintonnc.com")</f>
        <v>kcarter@clintonnc.com</v>
      </c>
      <c r="H321" s="2" t="s">
        <v>1029</v>
      </c>
      <c r="I321" s="7" t="s">
        <v>1030</v>
      </c>
      <c r="J321" s="7" t="s">
        <v>1031</v>
      </c>
      <c r="K321" s="7" t="s">
        <v>21</v>
      </c>
      <c r="L321" s="7">
        <v>28328</v>
      </c>
      <c r="M321" s="2" t="s">
        <v>1039</v>
      </c>
    </row>
    <row r="322" spans="1:13" ht="63" x14ac:dyDescent="0.25">
      <c r="A322" s="2" t="s">
        <v>1026</v>
      </c>
      <c r="B322" s="7"/>
      <c r="C322" s="7"/>
      <c r="D322" s="2" t="s">
        <v>37</v>
      </c>
      <c r="E322" s="2" t="s">
        <v>17</v>
      </c>
      <c r="F322" s="3" t="str">
        <f>HYPERLINK("https://twitter.com/SampsonInd","@SampsonInd")</f>
        <v>@SampsonInd</v>
      </c>
      <c r="G322" s="3" t="str">
        <f>HYPERLINK("mailto:smatthews@civitasmedia.com","smatthews@civitasmedia.com")</f>
        <v>smatthews@civitasmedia.com</v>
      </c>
      <c r="H322" s="2" t="s">
        <v>1029</v>
      </c>
      <c r="I322" s="2" t="s">
        <v>1030</v>
      </c>
      <c r="J322" s="2" t="s">
        <v>1031</v>
      </c>
      <c r="K322" s="2" t="s">
        <v>21</v>
      </c>
      <c r="L322" s="2">
        <v>28328</v>
      </c>
      <c r="M322" s="2" t="s">
        <v>1040</v>
      </c>
    </row>
    <row r="323" spans="1:13" ht="63" x14ac:dyDescent="0.25">
      <c r="A323" s="2" t="s">
        <v>1026</v>
      </c>
      <c r="B323" s="7"/>
      <c r="C323" s="7"/>
      <c r="D323" s="2" t="s">
        <v>38</v>
      </c>
      <c r="E323" s="2" t="s">
        <v>17</v>
      </c>
      <c r="F323" s="3" t="str">
        <f>HYPERLINK("https://twitter.com/SampsonInd","@SampsonInd")</f>
        <v>@SampsonInd</v>
      </c>
      <c r="G323" s="3" t="str">
        <f>HYPERLINK("mailto:smatthews@civitasmedia.com","smatthews@civitasmedia.com")</f>
        <v>smatthews@civitasmedia.com</v>
      </c>
      <c r="H323" s="2" t="s">
        <v>1029</v>
      </c>
      <c r="I323" s="2" t="s">
        <v>1030</v>
      </c>
      <c r="J323" s="2" t="s">
        <v>1031</v>
      </c>
      <c r="K323" s="2" t="s">
        <v>21</v>
      </c>
      <c r="L323" s="2">
        <v>28328</v>
      </c>
      <c r="M323" s="2" t="s">
        <v>1040</v>
      </c>
    </row>
    <row r="324" spans="1:13" ht="63" x14ac:dyDescent="0.25">
      <c r="A324" s="2" t="s">
        <v>577</v>
      </c>
      <c r="B324" s="2" t="s">
        <v>1041</v>
      </c>
      <c r="C324" s="2" t="s">
        <v>1042</v>
      </c>
      <c r="D324" s="2" t="s">
        <v>16</v>
      </c>
      <c r="E324" s="2" t="s">
        <v>17</v>
      </c>
      <c r="F324" s="5"/>
      <c r="G324" s="3" t="str">
        <f>HYPERLINK("mailto:rraney@sanfordherald.com","rraney@sanfordherald.com")</f>
        <v>rraney@sanfordherald.com</v>
      </c>
      <c r="H324" s="2" t="s">
        <v>580</v>
      </c>
      <c r="I324" s="2" t="s">
        <v>581</v>
      </c>
      <c r="J324" s="2" t="s">
        <v>1031</v>
      </c>
      <c r="K324" s="2" t="s">
        <v>21</v>
      </c>
      <c r="L324" s="2">
        <v>27330</v>
      </c>
      <c r="M324" s="2" t="s">
        <v>1043</v>
      </c>
    </row>
    <row r="325" spans="1:13" ht="47.25" x14ac:dyDescent="0.25">
      <c r="A325" s="2" t="s">
        <v>1044</v>
      </c>
      <c r="B325" s="2" t="s">
        <v>871</v>
      </c>
      <c r="C325" s="2" t="s">
        <v>1045</v>
      </c>
      <c r="D325" s="2" t="s">
        <v>1046</v>
      </c>
      <c r="E325" s="2" t="s">
        <v>17</v>
      </c>
      <c r="F325" s="3" t="str">
        <f>HYPERLINK("https://twitter.com/newspapers1974","@newspapers1974")</f>
        <v>@newspapers1974</v>
      </c>
      <c r="G325" s="2"/>
      <c r="H325" s="2" t="s">
        <v>1047</v>
      </c>
      <c r="I325" s="2" t="s">
        <v>1048</v>
      </c>
      <c r="J325" s="2" t="s">
        <v>1049</v>
      </c>
      <c r="K325" s="2" t="s">
        <v>21</v>
      </c>
      <c r="L325" s="2">
        <v>27030</v>
      </c>
      <c r="M325" s="2" t="s">
        <v>1050</v>
      </c>
    </row>
    <row r="326" spans="1:13" ht="47.25" x14ac:dyDescent="0.25">
      <c r="A326" s="2" t="s">
        <v>1044</v>
      </c>
      <c r="B326" s="2" t="s">
        <v>73</v>
      </c>
      <c r="C326" s="2" t="s">
        <v>1051</v>
      </c>
      <c r="D326" s="2" t="s">
        <v>1052</v>
      </c>
      <c r="E326" s="2" t="s">
        <v>17</v>
      </c>
      <c r="F326" s="3" t="str">
        <f>HYPERLINK("https://twitter.com/johnpetersedit","@johnpetersedit")</f>
        <v>@johnpetersedit</v>
      </c>
      <c r="G326" s="3" t="str">
        <f>HYPERLINK("mailto:jpeters@civitasmedia.com","jpeters@civitasmedia.com")</f>
        <v>jpeters@civitasmedia.com</v>
      </c>
      <c r="H326" s="2" t="s">
        <v>1047</v>
      </c>
      <c r="I326" s="2" t="s">
        <v>1048</v>
      </c>
      <c r="J326" s="2" t="s">
        <v>1049</v>
      </c>
      <c r="K326" s="2" t="s">
        <v>21</v>
      </c>
      <c r="L326" s="2">
        <v>27030</v>
      </c>
      <c r="M326" s="2" t="s">
        <v>1053</v>
      </c>
    </row>
    <row r="327" spans="1:13" ht="63" x14ac:dyDescent="0.25">
      <c r="A327" s="2" t="s">
        <v>1044</v>
      </c>
      <c r="B327" s="2" t="s">
        <v>777</v>
      </c>
      <c r="C327" s="2" t="s">
        <v>1054</v>
      </c>
      <c r="D327" s="2" t="s">
        <v>1055</v>
      </c>
      <c r="E327" s="2" t="s">
        <v>17</v>
      </c>
      <c r="F327" s="3" t="str">
        <f>HYPERLINK("https://twitter.com/sportsdudejeff?lang=en","@sportsdudejeff")</f>
        <v>@sportsdudejeff</v>
      </c>
      <c r="G327" s="3" t="str">
        <f>HYPERLINK("mailto:jlinville@mtairynews.com","jlinville@mtairynews.com")</f>
        <v>jlinville@mtairynews.com</v>
      </c>
      <c r="H327" s="2" t="s">
        <v>1047</v>
      </c>
      <c r="I327" s="2" t="s">
        <v>1048</v>
      </c>
      <c r="J327" s="2" t="s">
        <v>1049</v>
      </c>
      <c r="K327" s="2" t="s">
        <v>21</v>
      </c>
      <c r="L327" s="2">
        <v>27030</v>
      </c>
      <c r="M327" s="2" t="s">
        <v>1056</v>
      </c>
    </row>
    <row r="328" spans="1:13" ht="47.25" x14ac:dyDescent="0.25">
      <c r="A328" s="2" t="s">
        <v>1044</v>
      </c>
      <c r="B328" s="2" t="s">
        <v>27</v>
      </c>
      <c r="C328" s="2" t="s">
        <v>227</v>
      </c>
      <c r="D328" s="2" t="s">
        <v>33</v>
      </c>
      <c r="E328" s="2" t="s">
        <v>17</v>
      </c>
      <c r="F328" s="2"/>
      <c r="G328" s="3" t="str">
        <f>HYPERLINK("mailto:tjoyce@civitasmedia.com","tjoyce@civitasmedia.com")</f>
        <v>tjoyce@civitasmedia.com</v>
      </c>
      <c r="H328" s="2" t="s">
        <v>1047</v>
      </c>
      <c r="I328" s="2" t="s">
        <v>1048</v>
      </c>
      <c r="J328" s="2" t="s">
        <v>1049</v>
      </c>
      <c r="K328" s="2" t="s">
        <v>21</v>
      </c>
      <c r="L328" s="2">
        <v>27030</v>
      </c>
      <c r="M328" s="2" t="s">
        <v>1057</v>
      </c>
    </row>
    <row r="329" spans="1:13" ht="63" x14ac:dyDescent="0.25">
      <c r="A329" s="2" t="s">
        <v>1044</v>
      </c>
      <c r="B329" s="2" t="s">
        <v>395</v>
      </c>
      <c r="C329" s="2" t="s">
        <v>1058</v>
      </c>
      <c r="D329" s="2" t="s">
        <v>597</v>
      </c>
      <c r="E329" s="2" t="s">
        <v>17</v>
      </c>
      <c r="F329" s="2"/>
      <c r="G329" s="3" t="str">
        <f>HYPERLINK("mailto:awinemiller@mtairynews.com","awinemiller@mtairynews.com")</f>
        <v>awinemiller@mtairynews.com</v>
      </c>
      <c r="H329" s="2" t="s">
        <v>1047</v>
      </c>
      <c r="I329" s="2" t="s">
        <v>1048</v>
      </c>
      <c r="J329" s="2" t="s">
        <v>1049</v>
      </c>
      <c r="K329" s="2" t="s">
        <v>21</v>
      </c>
      <c r="L329" s="2">
        <v>27030</v>
      </c>
      <c r="M329" s="2" t="s">
        <v>1059</v>
      </c>
    </row>
    <row r="330" spans="1:13" ht="78.75" x14ac:dyDescent="0.25">
      <c r="A330" s="2" t="s">
        <v>1044</v>
      </c>
      <c r="B330" s="7"/>
      <c r="C330" s="7"/>
      <c r="D330" s="2" t="s">
        <v>38</v>
      </c>
      <c r="E330" s="2" t="s">
        <v>17</v>
      </c>
      <c r="F330" s="2"/>
      <c r="G330" s="3" t="s">
        <v>1060</v>
      </c>
      <c r="H330" s="2" t="s">
        <v>1047</v>
      </c>
      <c r="I330" s="2" t="s">
        <v>1048</v>
      </c>
      <c r="J330" s="2" t="s">
        <v>1049</v>
      </c>
      <c r="K330" s="2" t="s">
        <v>21</v>
      </c>
      <c r="L330" s="2">
        <v>27030</v>
      </c>
      <c r="M330" s="2" t="s">
        <v>1053</v>
      </c>
    </row>
    <row r="331" spans="1:13" ht="126" x14ac:dyDescent="0.25">
      <c r="A331" s="2" t="s">
        <v>1061</v>
      </c>
      <c r="B331" s="2" t="s">
        <v>1062</v>
      </c>
      <c r="C331" s="2" t="s">
        <v>1063</v>
      </c>
      <c r="D331" s="2" t="s">
        <v>33</v>
      </c>
      <c r="E331" s="2" t="s">
        <v>614</v>
      </c>
      <c r="F331" s="14"/>
      <c r="G331" s="3" t="str">
        <f>HYPERLINK("mailto:ahvilchez@gmail.com","ahvilchez@gmail.com")</f>
        <v>ahvilchez@gmail.com</v>
      </c>
      <c r="H331" s="2" t="s">
        <v>1064</v>
      </c>
      <c r="I331" s="2" t="s">
        <v>1065</v>
      </c>
      <c r="J331" s="2" t="s">
        <v>1066</v>
      </c>
      <c r="K331" s="2" t="s">
        <v>21</v>
      </c>
      <c r="L331" s="2">
        <v>28079</v>
      </c>
      <c r="M331" s="2" t="s">
        <v>1067</v>
      </c>
    </row>
    <row r="332" spans="1:13" ht="47.25" x14ac:dyDescent="0.25">
      <c r="A332" s="2" t="s">
        <v>1068</v>
      </c>
      <c r="B332" s="2" t="s">
        <v>1069</v>
      </c>
      <c r="C332" s="2" t="s">
        <v>1070</v>
      </c>
      <c r="D332" s="2" t="s">
        <v>16</v>
      </c>
      <c r="E332" s="2" t="s">
        <v>17</v>
      </c>
      <c r="F332" s="3" t="str">
        <f>HYPERLINK("https://twitter.com/EJpublisher","@EJpublisher")</f>
        <v>@EJpublisher</v>
      </c>
      <c r="G332" s="4" t="str">
        <f>HYPERLINK("mailto:dmorefield@theej.com","dmorefield@theej.com")</f>
        <v>dmorefield@theej.com</v>
      </c>
      <c r="H332" s="2" t="s">
        <v>1071</v>
      </c>
      <c r="I332" s="2" t="s">
        <v>1072</v>
      </c>
      <c r="J332" s="2" t="s">
        <v>1066</v>
      </c>
      <c r="K332" s="2" t="s">
        <v>21</v>
      </c>
      <c r="L332" s="2">
        <v>28112</v>
      </c>
      <c r="M332" s="2" t="s">
        <v>1073</v>
      </c>
    </row>
    <row r="333" spans="1:13" ht="47.25" x14ac:dyDescent="0.25">
      <c r="A333" s="2" t="s">
        <v>1068</v>
      </c>
      <c r="B333" s="2" t="s">
        <v>1074</v>
      </c>
      <c r="C333" s="2" t="s">
        <v>1075</v>
      </c>
      <c r="D333" s="2" t="s">
        <v>117</v>
      </c>
      <c r="E333" s="2" t="s">
        <v>17</v>
      </c>
      <c r="F333" s="2"/>
      <c r="G333" s="3" t="str">
        <f>HYPERLINK("mailto:jerrysnow@theej.com","jerrysnow@theej.com")</f>
        <v>jerrysnow@theej.com</v>
      </c>
      <c r="H333" s="2" t="s">
        <v>1071</v>
      </c>
      <c r="I333" s="2" t="s">
        <v>1072</v>
      </c>
      <c r="J333" s="2" t="s">
        <v>1066</v>
      </c>
      <c r="K333" s="2" t="s">
        <v>21</v>
      </c>
      <c r="L333" s="2">
        <v>28112</v>
      </c>
      <c r="M333" s="2" t="s">
        <v>1076</v>
      </c>
    </row>
    <row r="334" spans="1:13" ht="47.25" x14ac:dyDescent="0.25">
      <c r="A334" s="2" t="s">
        <v>1068</v>
      </c>
      <c r="B334" s="2" t="s">
        <v>1077</v>
      </c>
      <c r="C334" s="2" t="s">
        <v>1078</v>
      </c>
      <c r="D334" s="2" t="s">
        <v>33</v>
      </c>
      <c r="E334" s="2" t="s">
        <v>17</v>
      </c>
      <c r="F334" s="3" t="str">
        <f>HYPERLINK("https://twitter.com/cjmsteeves","@cjmsteeves")</f>
        <v>@cjmsteeves</v>
      </c>
      <c r="G334" s="3" t="str">
        <f>HYPERLINK("mailto:csteeves@theej.com","csteeves@theej.com")</f>
        <v>csteeves@theej.com</v>
      </c>
      <c r="H334" s="2" t="s">
        <v>1071</v>
      </c>
      <c r="I334" s="2" t="s">
        <v>1072</v>
      </c>
      <c r="J334" s="2" t="s">
        <v>1066</v>
      </c>
      <c r="K334" s="2" t="s">
        <v>21</v>
      </c>
      <c r="L334" s="2">
        <v>28112</v>
      </c>
      <c r="M334" s="2" t="s">
        <v>1079</v>
      </c>
    </row>
    <row r="335" spans="1:13" ht="47.25" x14ac:dyDescent="0.25">
      <c r="A335" s="2" t="s">
        <v>1068</v>
      </c>
      <c r="B335" s="2"/>
      <c r="C335" s="2"/>
      <c r="D335" s="2" t="s">
        <v>37</v>
      </c>
      <c r="E335" s="2" t="s">
        <v>17</v>
      </c>
      <c r="F335" s="3" t="str">
        <f>HYPERLINK("https://twitter.com/EnquirerJournal","@EnquirerJournal")</f>
        <v>@EnquirerJournal</v>
      </c>
      <c r="G335" s="3" t="str">
        <f>HYPERLINK("mailto:news@theej.com","news@theej.com")</f>
        <v>news@theej.com</v>
      </c>
      <c r="H335" s="2" t="s">
        <v>1071</v>
      </c>
      <c r="I335" s="2" t="s">
        <v>1072</v>
      </c>
      <c r="J335" s="2" t="s">
        <v>1066</v>
      </c>
      <c r="K335" s="2" t="s">
        <v>21</v>
      </c>
      <c r="L335" s="2">
        <v>28112</v>
      </c>
      <c r="M335" s="2" t="s">
        <v>1080</v>
      </c>
    </row>
    <row r="336" spans="1:13" ht="78.75" x14ac:dyDescent="0.25">
      <c r="A336" s="2" t="s">
        <v>1081</v>
      </c>
      <c r="B336" s="2" t="s">
        <v>311</v>
      </c>
      <c r="C336" s="2" t="s">
        <v>1082</v>
      </c>
      <c r="D336" s="2" t="s">
        <v>205</v>
      </c>
      <c r="E336" s="2" t="s">
        <v>17</v>
      </c>
      <c r="F336" s="3" t="str">
        <f>HYPERLINK("https://twitter.com/NancyWykle","@NancyWykle")</f>
        <v>@NancyWykle</v>
      </c>
      <c r="G336" s="3" t="str">
        <f>HYPERLINK("mailto:nwykle@hendersondispatch.com","nwykle@hendersondispatch.com")</f>
        <v>nwykle@hendersondispatch.com</v>
      </c>
      <c r="H336" s="2" t="s">
        <v>1083</v>
      </c>
      <c r="I336" s="2" t="s">
        <v>550</v>
      </c>
      <c r="J336" s="2" t="s">
        <v>1084</v>
      </c>
      <c r="K336" s="2" t="s">
        <v>21</v>
      </c>
      <c r="L336" s="2">
        <v>27536</v>
      </c>
      <c r="M336" s="2" t="s">
        <v>1085</v>
      </c>
    </row>
    <row r="337" spans="1:13" ht="78.75" x14ac:dyDescent="0.25">
      <c r="A337" s="2" t="s">
        <v>1081</v>
      </c>
      <c r="B337" s="2" t="s">
        <v>973</v>
      </c>
      <c r="C337" s="2" t="s">
        <v>1086</v>
      </c>
      <c r="D337" s="2" t="s">
        <v>117</v>
      </c>
      <c r="E337" s="2" t="s">
        <v>17</v>
      </c>
      <c r="F337" s="3"/>
      <c r="G337" s="3" t="str">
        <f>HYPERLINK("mailto:cnguyen@hendersondispatch.com","cnguyen@hendersondispatch.com")</f>
        <v>cnguyen@hendersondispatch.com</v>
      </c>
      <c r="H337" s="2" t="s">
        <v>1083</v>
      </c>
      <c r="I337" s="2" t="s">
        <v>550</v>
      </c>
      <c r="J337" s="2" t="s">
        <v>1084</v>
      </c>
      <c r="K337" s="2" t="s">
        <v>21</v>
      </c>
      <c r="L337" s="2">
        <v>27536</v>
      </c>
      <c r="M337" s="2" t="s">
        <v>1087</v>
      </c>
    </row>
    <row r="338" spans="1:13" ht="94.5" x14ac:dyDescent="0.25">
      <c r="A338" s="2" t="s">
        <v>1081</v>
      </c>
      <c r="B338" s="2" t="s">
        <v>1088</v>
      </c>
      <c r="C338" s="2" t="s">
        <v>1089</v>
      </c>
      <c r="D338" s="2" t="s">
        <v>1090</v>
      </c>
      <c r="E338" s="2" t="s">
        <v>17</v>
      </c>
      <c r="F338" s="2"/>
      <c r="G338" s="3" t="str">
        <f>HYPERLINK("mailto:rhedrick@hendersondispatch.com","rhedrick@hendersondispatch.com")</f>
        <v>rhedrick@hendersondispatch.com</v>
      </c>
      <c r="H338" s="2" t="s">
        <v>1083</v>
      </c>
      <c r="I338" s="2" t="s">
        <v>550</v>
      </c>
      <c r="J338" s="2" t="s">
        <v>1084</v>
      </c>
      <c r="K338" s="2" t="s">
        <v>21</v>
      </c>
      <c r="L338" s="2">
        <v>27536</v>
      </c>
      <c r="M338" s="2" t="s">
        <v>1091</v>
      </c>
    </row>
    <row r="339" spans="1:13" ht="78.75" x14ac:dyDescent="0.25">
      <c r="A339" s="2" t="s">
        <v>1081</v>
      </c>
      <c r="B339" s="2" t="s">
        <v>1092</v>
      </c>
      <c r="C339" s="2" t="s">
        <v>1093</v>
      </c>
      <c r="D339" s="2" t="s">
        <v>1094</v>
      </c>
      <c r="E339" s="2" t="s">
        <v>17</v>
      </c>
      <c r="F339" s="2"/>
      <c r="G339" s="3" t="str">
        <f>HYPERLINK("mailto:mbates@hendersondispatch.com","mbates@hendersondispatch.com")</f>
        <v>mbates@hendersondispatch.com</v>
      </c>
      <c r="H339" s="2" t="s">
        <v>1083</v>
      </c>
      <c r="I339" s="2" t="s">
        <v>550</v>
      </c>
      <c r="J339" s="2" t="s">
        <v>1084</v>
      </c>
      <c r="K339" s="2" t="s">
        <v>21</v>
      </c>
      <c r="L339" s="2">
        <v>27536</v>
      </c>
      <c r="M339" s="2" t="s">
        <v>1095</v>
      </c>
    </row>
    <row r="340" spans="1:13" ht="94.5" x14ac:dyDescent="0.25">
      <c r="A340" s="2" t="s">
        <v>1081</v>
      </c>
      <c r="B340" s="2" t="s">
        <v>1096</v>
      </c>
      <c r="C340" s="2" t="s">
        <v>1097</v>
      </c>
      <c r="D340" s="2" t="s">
        <v>1098</v>
      </c>
      <c r="E340" s="2" t="s">
        <v>17</v>
      </c>
      <c r="F340" s="2"/>
      <c r="G340" s="3" t="str">
        <f>HYPERLINK("mailto:dirvine@hendersondispatch.com","dirvine@hendersondispatch.com")</f>
        <v>dirvine@hendersondispatch.com</v>
      </c>
      <c r="H340" s="2" t="s">
        <v>1083</v>
      </c>
      <c r="I340" s="2" t="s">
        <v>550</v>
      </c>
      <c r="J340" s="2" t="s">
        <v>1084</v>
      </c>
      <c r="K340" s="2" t="s">
        <v>21</v>
      </c>
      <c r="L340" s="2">
        <v>27536</v>
      </c>
      <c r="M340" s="2" t="s">
        <v>1099</v>
      </c>
    </row>
    <row r="341" spans="1:13" ht="63" x14ac:dyDescent="0.25">
      <c r="A341" s="2" t="s">
        <v>1081</v>
      </c>
      <c r="B341" s="7"/>
      <c r="C341" s="7"/>
      <c r="D341" s="2" t="s">
        <v>37</v>
      </c>
      <c r="E341" s="2" t="s">
        <v>17</v>
      </c>
      <c r="F341" s="2"/>
      <c r="G341" s="3" t="str">
        <f>HYPERLINK("mailto:news@hendersondispatch.com","news@hendersondispatch.com")</f>
        <v>news@hendersondispatch.com</v>
      </c>
      <c r="H341" s="2" t="s">
        <v>1083</v>
      </c>
      <c r="I341" s="2" t="s">
        <v>550</v>
      </c>
      <c r="J341" s="2" t="s">
        <v>1084</v>
      </c>
      <c r="K341" s="2" t="s">
        <v>21</v>
      </c>
      <c r="L341" s="2">
        <v>27536</v>
      </c>
      <c r="M341" s="2" t="s">
        <v>1100</v>
      </c>
    </row>
    <row r="342" spans="1:13" ht="63" x14ac:dyDescent="0.25">
      <c r="A342" s="2" t="s">
        <v>1081</v>
      </c>
      <c r="B342" s="7"/>
      <c r="C342" s="7"/>
      <c r="D342" s="2" t="s">
        <v>38</v>
      </c>
      <c r="E342" s="2" t="s">
        <v>17</v>
      </c>
      <c r="F342" s="2"/>
      <c r="G342" s="3" t="str">
        <f>HYPERLINK("mailto:letters@hendersondispatch.com","letters@hendersondispatch.com")</f>
        <v>letters@hendersondispatch.com</v>
      </c>
      <c r="H342" s="2" t="s">
        <v>1083</v>
      </c>
      <c r="I342" s="2" t="s">
        <v>550</v>
      </c>
      <c r="J342" s="2" t="s">
        <v>1084</v>
      </c>
      <c r="K342" s="2" t="s">
        <v>21</v>
      </c>
      <c r="L342" s="2">
        <v>27536</v>
      </c>
      <c r="M342" s="2" t="s">
        <v>1100</v>
      </c>
    </row>
    <row r="343" spans="1:13" ht="78.75" x14ac:dyDescent="0.25">
      <c r="A343" s="2" t="s">
        <v>1101</v>
      </c>
      <c r="B343" s="7"/>
      <c r="C343" s="7"/>
      <c r="D343" s="2" t="s">
        <v>37</v>
      </c>
      <c r="E343" s="2" t="s">
        <v>614</v>
      </c>
      <c r="F343" s="14"/>
      <c r="G343" s="2" t="s">
        <v>1102</v>
      </c>
      <c r="H343" s="2" t="s">
        <v>1103</v>
      </c>
      <c r="I343" s="2" t="s">
        <v>1104</v>
      </c>
      <c r="J343" s="2" t="s">
        <v>1105</v>
      </c>
      <c r="K343" s="2" t="s">
        <v>21</v>
      </c>
      <c r="L343" s="2">
        <v>27609</v>
      </c>
      <c r="M343" s="2" t="s">
        <v>1106</v>
      </c>
    </row>
    <row r="344" spans="1:13" ht="78.75" x14ac:dyDescent="0.25">
      <c r="A344" s="2" t="s">
        <v>1101</v>
      </c>
      <c r="B344" s="7"/>
      <c r="C344" s="7"/>
      <c r="D344" s="2" t="s">
        <v>1107</v>
      </c>
      <c r="E344" s="2" t="s">
        <v>614</v>
      </c>
      <c r="F344" s="14"/>
      <c r="G344" s="2" t="s">
        <v>1108</v>
      </c>
      <c r="H344" s="2" t="s">
        <v>1103</v>
      </c>
      <c r="I344" s="2" t="s">
        <v>1104</v>
      </c>
      <c r="J344" s="2" t="s">
        <v>1105</v>
      </c>
      <c r="K344" s="2" t="s">
        <v>21</v>
      </c>
      <c r="L344" s="2">
        <v>27609</v>
      </c>
      <c r="M344" s="2" t="s">
        <v>1106</v>
      </c>
    </row>
    <row r="345" spans="1:13" ht="78.75" x14ac:dyDescent="0.25">
      <c r="A345" s="2" t="s">
        <v>1109</v>
      </c>
      <c r="B345" s="5" t="s">
        <v>203</v>
      </c>
      <c r="C345" s="5" t="s">
        <v>1110</v>
      </c>
      <c r="D345" s="5" t="s">
        <v>65</v>
      </c>
      <c r="E345" s="2" t="s">
        <v>100</v>
      </c>
      <c r="F345" s="6" t="str">
        <f>HYPERLINK("https://twitter.com/setheffron","@setheffron")</f>
        <v>@setheffron</v>
      </c>
      <c r="G345" s="15" t="str">
        <f>HYPERLINK("mailto:seffron@cbc-raleigh.com","seffron@cbc-raleigh.com")</f>
        <v>seffron@cbc-raleigh.com</v>
      </c>
      <c r="H345" s="5" t="s">
        <v>1111</v>
      </c>
      <c r="I345" s="5" t="s">
        <v>1104</v>
      </c>
      <c r="J345" s="5" t="s">
        <v>1105</v>
      </c>
      <c r="K345" s="5" t="s">
        <v>21</v>
      </c>
      <c r="L345" s="5">
        <v>27606</v>
      </c>
      <c r="M345" s="5" t="s">
        <v>1112</v>
      </c>
    </row>
    <row r="346" spans="1:13" ht="63" x14ac:dyDescent="0.25">
      <c r="A346" s="2" t="s">
        <v>1113</v>
      </c>
      <c r="B346" s="2" t="s">
        <v>1114</v>
      </c>
      <c r="C346" s="2" t="s">
        <v>1115</v>
      </c>
      <c r="D346" s="2" t="s">
        <v>1116</v>
      </c>
      <c r="E346" s="2" t="s">
        <v>17</v>
      </c>
      <c r="F346" s="14"/>
      <c r="G346" s="3" t="str">
        <f>HYPERLINK("mailto:hgargan@newsobserver.com","hgargan@newsobserver.com")</f>
        <v>hgargan@newsobserver.com</v>
      </c>
      <c r="H346" s="14" t="s">
        <v>1117</v>
      </c>
      <c r="I346" s="2" t="s">
        <v>1118</v>
      </c>
      <c r="J346" s="2" t="s">
        <v>1105</v>
      </c>
      <c r="K346" s="2" t="s">
        <v>21</v>
      </c>
      <c r="L346" s="2">
        <v>27511</v>
      </c>
      <c r="M346" s="2" t="s">
        <v>1119</v>
      </c>
    </row>
    <row r="347" spans="1:13" ht="47.25" x14ac:dyDescent="0.25">
      <c r="A347" s="2" t="s">
        <v>1120</v>
      </c>
      <c r="B347" s="2" t="s">
        <v>1121</v>
      </c>
      <c r="C347" s="2" t="s">
        <v>1122</v>
      </c>
      <c r="D347" s="2" t="s">
        <v>384</v>
      </c>
      <c r="E347" s="2" t="s">
        <v>100</v>
      </c>
      <c r="F347" s="6" t="s">
        <v>1123</v>
      </c>
      <c r="G347" s="3" t="str">
        <f>HYPERLINK("mailto:billy@ncpolicywatch.com","billy@ncpolicywatch.com")</f>
        <v>billy@ncpolicywatch.com</v>
      </c>
      <c r="H347" s="5" t="s">
        <v>1124</v>
      </c>
      <c r="I347" s="2" t="s">
        <v>1104</v>
      </c>
      <c r="J347" s="2" t="s">
        <v>1105</v>
      </c>
      <c r="K347" s="2" t="s">
        <v>21</v>
      </c>
      <c r="L347" s="2">
        <v>27601</v>
      </c>
      <c r="M347" s="5" t="s">
        <v>1125</v>
      </c>
    </row>
    <row r="348" spans="1:13" ht="63" x14ac:dyDescent="0.25">
      <c r="A348" s="2" t="s">
        <v>1120</v>
      </c>
      <c r="B348" s="2" t="s">
        <v>237</v>
      </c>
      <c r="C348" s="2" t="s">
        <v>1126</v>
      </c>
      <c r="D348" s="2" t="s">
        <v>109</v>
      </c>
      <c r="E348" s="2" t="s">
        <v>100</v>
      </c>
      <c r="F348" s="6" t="str">
        <f>HYPERLINK("https://twitter.com/NCPolicyWatch","@NCPolicyWatch")</f>
        <v>@NCPolicyWatch</v>
      </c>
      <c r="G348" s="2" t="s">
        <v>1127</v>
      </c>
      <c r="H348" s="5" t="s">
        <v>1124</v>
      </c>
      <c r="I348" s="2" t="s">
        <v>1104</v>
      </c>
      <c r="J348" s="2" t="s">
        <v>1105</v>
      </c>
      <c r="K348" s="2" t="s">
        <v>21</v>
      </c>
      <c r="L348" s="2">
        <v>27601</v>
      </c>
      <c r="M348" s="2" t="s">
        <v>1128</v>
      </c>
    </row>
    <row r="349" spans="1:13" ht="47.25" x14ac:dyDescent="0.25">
      <c r="A349" s="2" t="s">
        <v>1120</v>
      </c>
      <c r="B349" s="2" t="s">
        <v>458</v>
      </c>
      <c r="C349" s="2" t="s">
        <v>1129</v>
      </c>
      <c r="D349" s="2" t="s">
        <v>106</v>
      </c>
      <c r="E349" s="2" t="s">
        <v>100</v>
      </c>
      <c r="F349" s="6" t="s">
        <v>1123</v>
      </c>
      <c r="G349" s="3" t="str">
        <f>HYPERLINK("mailto:joe@ncpolicywatch.com","joe@ncpolicywatch.com")</f>
        <v>joe@ncpolicywatch.com</v>
      </c>
      <c r="H349" s="5" t="s">
        <v>1124</v>
      </c>
      <c r="I349" s="2" t="s">
        <v>1104</v>
      </c>
      <c r="J349" s="2" t="s">
        <v>1105</v>
      </c>
      <c r="K349" s="2" t="s">
        <v>21</v>
      </c>
      <c r="L349" s="2">
        <v>27601</v>
      </c>
      <c r="M349" s="5" t="s">
        <v>1130</v>
      </c>
    </row>
    <row r="350" spans="1:13" ht="110.25" x14ac:dyDescent="0.25">
      <c r="A350" s="2" t="s">
        <v>1120</v>
      </c>
      <c r="B350" s="2" t="s">
        <v>1131</v>
      </c>
      <c r="C350" s="2" t="s">
        <v>1132</v>
      </c>
      <c r="D350" s="2" t="s">
        <v>1133</v>
      </c>
      <c r="E350" s="2" t="s">
        <v>100</v>
      </c>
      <c r="F350" s="6" t="s">
        <v>1123</v>
      </c>
      <c r="G350" s="2" t="s">
        <v>1134</v>
      </c>
      <c r="H350" s="5" t="s">
        <v>1124</v>
      </c>
      <c r="I350" s="2" t="s">
        <v>1104</v>
      </c>
      <c r="J350" s="2" t="s">
        <v>1105</v>
      </c>
      <c r="K350" s="2" t="s">
        <v>21</v>
      </c>
      <c r="L350" s="2">
        <v>27601</v>
      </c>
      <c r="M350" s="5" t="s">
        <v>1130</v>
      </c>
    </row>
    <row r="351" spans="1:13" ht="47.25" x14ac:dyDescent="0.25">
      <c r="A351" s="2" t="s">
        <v>1120</v>
      </c>
      <c r="B351" s="2" t="s">
        <v>125</v>
      </c>
      <c r="C351" s="2" t="s">
        <v>1135</v>
      </c>
      <c r="D351" s="2" t="s">
        <v>1136</v>
      </c>
      <c r="E351" s="2" t="s">
        <v>100</v>
      </c>
      <c r="F351" s="6" t="s">
        <v>1123</v>
      </c>
      <c r="G351" s="3" t="str">
        <f>HYPERLINK("mailto:lisa@ncpolicywatch.com","lisa@ncpolicywatch.com")</f>
        <v>lisa@ncpolicywatch.com</v>
      </c>
      <c r="H351" s="5" t="s">
        <v>1124</v>
      </c>
      <c r="I351" s="2" t="s">
        <v>1104</v>
      </c>
      <c r="J351" s="2" t="s">
        <v>1105</v>
      </c>
      <c r="K351" s="2" t="s">
        <v>21</v>
      </c>
      <c r="L351" s="2">
        <v>27601</v>
      </c>
      <c r="M351" s="5" t="s">
        <v>1130</v>
      </c>
    </row>
    <row r="352" spans="1:13" ht="63" x14ac:dyDescent="0.25">
      <c r="A352" s="2" t="s">
        <v>1120</v>
      </c>
      <c r="B352" s="2" t="s">
        <v>1137</v>
      </c>
      <c r="C352" s="2" t="s">
        <v>1138</v>
      </c>
      <c r="D352" s="2" t="s">
        <v>417</v>
      </c>
      <c r="E352" s="2" t="s">
        <v>100</v>
      </c>
      <c r="F352" s="6"/>
      <c r="G352" s="3" t="str">
        <f>HYPERLINK("mailto:melissa@ncpolicywatch.com","melissa@ncpolicywatch.com")</f>
        <v>melissa@ncpolicywatch.com</v>
      </c>
      <c r="H352" s="5" t="s">
        <v>1124</v>
      </c>
      <c r="I352" s="2" t="s">
        <v>1104</v>
      </c>
      <c r="J352" s="2" t="s">
        <v>1105</v>
      </c>
      <c r="K352" s="2" t="s">
        <v>21</v>
      </c>
      <c r="L352" s="2">
        <v>27601</v>
      </c>
      <c r="M352" s="5" t="s">
        <v>1139</v>
      </c>
    </row>
    <row r="353" spans="1:13" ht="63" x14ac:dyDescent="0.25">
      <c r="A353" s="2" t="s">
        <v>865</v>
      </c>
      <c r="B353" s="2" t="s">
        <v>73</v>
      </c>
      <c r="C353" s="2" t="s">
        <v>1140</v>
      </c>
      <c r="D353" s="2" t="s">
        <v>268</v>
      </c>
      <c r="E353" s="2" t="s">
        <v>17</v>
      </c>
      <c r="F353" s="3" t="str">
        <f>HYPERLINK("https://twitter.com/john_drescher?lang=en","@john_drescher")</f>
        <v>@john_drescher</v>
      </c>
      <c r="G353" s="3" t="str">
        <f>HYPERLINK("mailto:ohn.drescher@newsobserver.com","john.drescher@newsobserver.com")</f>
        <v>john.drescher@newsobserver.com</v>
      </c>
      <c r="H353" s="2" t="s">
        <v>1141</v>
      </c>
      <c r="I353" s="2" t="s">
        <v>1104</v>
      </c>
      <c r="J353" s="2" t="s">
        <v>1105</v>
      </c>
      <c r="K353" s="2" t="s">
        <v>21</v>
      </c>
      <c r="L353" s="2">
        <v>27601</v>
      </c>
      <c r="M353" s="2" t="s">
        <v>1142</v>
      </c>
    </row>
    <row r="354" spans="1:13" ht="63" x14ac:dyDescent="0.25">
      <c r="A354" s="2" t="s">
        <v>865</v>
      </c>
      <c r="B354" s="2" t="s">
        <v>1143</v>
      </c>
      <c r="C354" s="2" t="s">
        <v>355</v>
      </c>
      <c r="D354" s="2" t="s">
        <v>16</v>
      </c>
      <c r="E354" s="2" t="s">
        <v>17</v>
      </c>
      <c r="F354" s="6" t="str">
        <f>HYPERLINK("https://twitter.com/sglines2008","@sglines2008")</f>
        <v>@sglines2008</v>
      </c>
      <c r="G354" s="3" t="str">
        <f>HYPERLINK("mailto:sara.glines@newsobserver.com","sara.glines@newsobserver.com")</f>
        <v>sara.glines@newsobserver.com</v>
      </c>
      <c r="H354" s="2" t="s">
        <v>1141</v>
      </c>
      <c r="I354" s="2" t="s">
        <v>1104</v>
      </c>
      <c r="J354" s="2" t="s">
        <v>1105</v>
      </c>
      <c r="K354" s="2" t="s">
        <v>21</v>
      </c>
      <c r="L354" s="2">
        <v>27601</v>
      </c>
      <c r="M354" s="2"/>
    </row>
    <row r="355" spans="1:13" ht="63" x14ac:dyDescent="0.25">
      <c r="A355" s="2" t="s">
        <v>865</v>
      </c>
      <c r="B355" s="2" t="s">
        <v>1144</v>
      </c>
      <c r="C355" s="2" t="s">
        <v>1145</v>
      </c>
      <c r="D355" s="2" t="s">
        <v>1146</v>
      </c>
      <c r="E355" s="2" t="s">
        <v>17</v>
      </c>
      <c r="F355" s="3" t="str">
        <f>HYPERLINK("https://twitter.com/dbarkin?lang=en","@dbarkin")</f>
        <v>@dbarkin</v>
      </c>
      <c r="G355" s="3" t="str">
        <f>HYPERLINK("mailto:dan.barkin@newsobserver.com","dan.barkin@newsobserver.com")</f>
        <v>dan.barkin@newsobserver.com</v>
      </c>
      <c r="H355" s="2" t="s">
        <v>1141</v>
      </c>
      <c r="I355" s="2" t="s">
        <v>1104</v>
      </c>
      <c r="J355" s="2" t="s">
        <v>1105</v>
      </c>
      <c r="K355" s="2" t="s">
        <v>21</v>
      </c>
      <c r="L355" s="2">
        <v>27601</v>
      </c>
      <c r="M355" s="2" t="s">
        <v>1147</v>
      </c>
    </row>
    <row r="356" spans="1:13" ht="63" x14ac:dyDescent="0.25">
      <c r="A356" s="2" t="s">
        <v>865</v>
      </c>
      <c r="B356" s="2" t="s">
        <v>1148</v>
      </c>
      <c r="C356" s="2" t="s">
        <v>1149</v>
      </c>
      <c r="D356" s="2" t="s">
        <v>1150</v>
      </c>
      <c r="E356" s="2" t="s">
        <v>17</v>
      </c>
      <c r="F356" s="3" t="str">
        <f>HYPERLINK("https://twitter.com/barnettned","@barnettned")</f>
        <v>@barnettned</v>
      </c>
      <c r="G356" s="3" t="str">
        <f>HYPERLINK("mailto:nbarnett@newsobserver.com","nbarnett@newsobserver.com")</f>
        <v>nbarnett@newsobserver.com</v>
      </c>
      <c r="H356" s="2" t="s">
        <v>1141</v>
      </c>
      <c r="I356" s="2" t="s">
        <v>1104</v>
      </c>
      <c r="J356" s="2" t="s">
        <v>1105</v>
      </c>
      <c r="K356" s="2" t="s">
        <v>21</v>
      </c>
      <c r="L356" s="2">
        <v>27601</v>
      </c>
      <c r="M356" s="2" t="s">
        <v>1151</v>
      </c>
    </row>
    <row r="357" spans="1:13" ht="63" x14ac:dyDescent="0.25">
      <c r="A357" s="2" t="s">
        <v>865</v>
      </c>
      <c r="B357" s="2" t="s">
        <v>690</v>
      </c>
      <c r="C357" s="2" t="s">
        <v>338</v>
      </c>
      <c r="D357" s="2" t="s">
        <v>1152</v>
      </c>
      <c r="E357" s="2" t="s">
        <v>17</v>
      </c>
      <c r="F357" s="3" t="str">
        <f>HYPERLINK("https://twitter.com/noopinionshop?lang=en","@NOOpinionShop ")</f>
        <v xml:space="preserve">@NOOpinionShop </v>
      </c>
      <c r="G357" s="3" t="str">
        <f>HYPERLINK("mailto:jjenkins@newsobserver.com","jjenkins@newsobserver.com")</f>
        <v>jjenkins@newsobserver.com</v>
      </c>
      <c r="H357" s="2" t="s">
        <v>1141</v>
      </c>
      <c r="I357" s="2" t="s">
        <v>1104</v>
      </c>
      <c r="J357" s="2" t="s">
        <v>1105</v>
      </c>
      <c r="K357" s="2" t="s">
        <v>21</v>
      </c>
      <c r="L357" s="2">
        <v>27601</v>
      </c>
      <c r="M357" s="2" t="s">
        <v>1153</v>
      </c>
    </row>
    <row r="358" spans="1:13" ht="63" x14ac:dyDescent="0.25">
      <c r="A358" s="2" t="s">
        <v>865</v>
      </c>
      <c r="B358" s="2" t="s">
        <v>1154</v>
      </c>
      <c r="C358" s="2" t="s">
        <v>456</v>
      </c>
      <c r="D358" s="2" t="s">
        <v>1155</v>
      </c>
      <c r="E358" s="2" t="s">
        <v>17</v>
      </c>
      <c r="F358" s="3" t="str">
        <f>HYPERLINK("https://twitter.com/noopinionshop?lang=en","@NOOpinionShop ")</f>
        <v xml:space="preserve">@NOOpinionShop </v>
      </c>
      <c r="G358" s="3" t="str">
        <f>HYPERLINK("mailto:snewkirk@newsobserver.com","snewkirk@newsobserver.com")</f>
        <v>snewkirk@newsobserver.com</v>
      </c>
      <c r="H358" s="2" t="s">
        <v>1141</v>
      </c>
      <c r="I358" s="2" t="s">
        <v>1104</v>
      </c>
      <c r="J358" s="2" t="s">
        <v>1105</v>
      </c>
      <c r="K358" s="2" t="s">
        <v>21</v>
      </c>
      <c r="L358" s="2">
        <v>27601</v>
      </c>
      <c r="M358" s="2" t="s">
        <v>1156</v>
      </c>
    </row>
    <row r="359" spans="1:13" ht="63" x14ac:dyDescent="0.25">
      <c r="A359" s="2" t="s">
        <v>865</v>
      </c>
      <c r="B359" s="2" t="s">
        <v>1157</v>
      </c>
      <c r="C359" s="2" t="s">
        <v>1158</v>
      </c>
      <c r="D359" s="2" t="s">
        <v>1159</v>
      </c>
      <c r="E359" s="2" t="s">
        <v>17</v>
      </c>
      <c r="F359" s="3" t="str">
        <f>HYPERLINK("https://twitter.com/mcornatzer","@mcornatzer")</f>
        <v>@mcornatzer</v>
      </c>
      <c r="G359" s="3" t="str">
        <f>HYPERLINK("mailto:mcornatzer@newsobserver.com","mcornatzer@newsobserver.com")</f>
        <v>mcornatzer@newsobserver.com</v>
      </c>
      <c r="H359" s="2" t="s">
        <v>1141</v>
      </c>
      <c r="I359" s="2" t="s">
        <v>1104</v>
      </c>
      <c r="J359" s="2" t="s">
        <v>1105</v>
      </c>
      <c r="K359" s="2" t="s">
        <v>21</v>
      </c>
      <c r="L359" s="2">
        <v>27601</v>
      </c>
      <c r="M359" s="2" t="s">
        <v>1160</v>
      </c>
    </row>
    <row r="360" spans="1:13" ht="63" x14ac:dyDescent="0.25">
      <c r="A360" s="2" t="s">
        <v>865</v>
      </c>
      <c r="B360" s="2" t="s">
        <v>1161</v>
      </c>
      <c r="C360" s="2" t="s">
        <v>1162</v>
      </c>
      <c r="D360" s="2" t="s">
        <v>362</v>
      </c>
      <c r="E360" s="2" t="s">
        <v>17</v>
      </c>
      <c r="F360" s="6" t="str">
        <f>HYPERLINK("https://twitter.com/thadogburn","@thadogburn")</f>
        <v>@thadogburn</v>
      </c>
      <c r="G360" s="3" t="str">
        <f>HYPERLINK("mailto:togburn@newsobserver.com","togburn@newsobserver.com")</f>
        <v>togburn@newsobserver.com</v>
      </c>
      <c r="H360" s="2" t="s">
        <v>1141</v>
      </c>
      <c r="I360" s="2" t="s">
        <v>1104</v>
      </c>
      <c r="J360" s="2" t="s">
        <v>1105</v>
      </c>
      <c r="K360" s="2" t="s">
        <v>21</v>
      </c>
      <c r="L360" s="2">
        <v>27601</v>
      </c>
      <c r="M360" s="2" t="s">
        <v>1163</v>
      </c>
    </row>
    <row r="361" spans="1:13" ht="78.75" x14ac:dyDescent="0.25">
      <c r="A361" s="2" t="s">
        <v>865</v>
      </c>
      <c r="B361" s="2" t="s">
        <v>1164</v>
      </c>
      <c r="C361" s="2" t="s">
        <v>1165</v>
      </c>
      <c r="D361" s="2" t="s">
        <v>1166</v>
      </c>
      <c r="E361" s="2" t="s">
        <v>17</v>
      </c>
      <c r="F361" s="3" t="str">
        <f>HYPERLINK("https://twitter.com/RStradling","@RStradling")</f>
        <v>@RStradling</v>
      </c>
      <c r="G361" s="3" t="str">
        <f>HYPERLINK("mailto:richard.stradling@newsobserver.com","richard.stradling@newsobserver.com")</f>
        <v>richard.stradling@newsobserver.com</v>
      </c>
      <c r="H361" s="2" t="s">
        <v>1141</v>
      </c>
      <c r="I361" s="2" t="s">
        <v>1104</v>
      </c>
      <c r="J361" s="2" t="s">
        <v>1105</v>
      </c>
      <c r="K361" s="2" t="s">
        <v>21</v>
      </c>
      <c r="L361" s="2">
        <v>27601</v>
      </c>
      <c r="M361" s="2" t="s">
        <v>1163</v>
      </c>
    </row>
    <row r="362" spans="1:13" ht="78.75" x14ac:dyDescent="0.25">
      <c r="A362" s="2" t="s">
        <v>865</v>
      </c>
      <c r="B362" s="2" t="s">
        <v>1167</v>
      </c>
      <c r="C362" s="2" t="s">
        <v>24</v>
      </c>
      <c r="D362" s="2" t="s">
        <v>1168</v>
      </c>
      <c r="E362" s="2" t="s">
        <v>17</v>
      </c>
      <c r="F362" s="2"/>
      <c r="G362" s="3" t="str">
        <f>HYPERLINK("mailto:deborah.jackson@newsobserver.com","deborah.jackson@newsobserver.com")</f>
        <v>deborah.jackson@newsobserver.com</v>
      </c>
      <c r="H362" s="2" t="s">
        <v>1141</v>
      </c>
      <c r="I362" s="2" t="s">
        <v>1104</v>
      </c>
      <c r="J362" s="2" t="s">
        <v>1105</v>
      </c>
      <c r="K362" s="2" t="s">
        <v>21</v>
      </c>
      <c r="L362" s="2">
        <v>27601</v>
      </c>
      <c r="M362" s="2" t="s">
        <v>1169</v>
      </c>
    </row>
    <row r="363" spans="1:13" ht="78.75" x14ac:dyDescent="0.25">
      <c r="A363" s="2" t="s">
        <v>865</v>
      </c>
      <c r="B363" s="2" t="s">
        <v>73</v>
      </c>
      <c r="C363" s="2" t="s">
        <v>1170</v>
      </c>
      <c r="D363" s="2" t="s">
        <v>1171</v>
      </c>
      <c r="E363" s="2" t="s">
        <v>17</v>
      </c>
      <c r="F363" s="6" t="str">
        <f>HYPERLINK("https://twitter.com/johnmurawski","@johnmurawski")</f>
        <v>@johnmurawski</v>
      </c>
      <c r="G363" s="3" t="str">
        <f>HYPERLINK("mailto:john.murawski@newsobserver.com","john.murawski@newsobserver.com")</f>
        <v>john.murawski@newsobserver.com</v>
      </c>
      <c r="H363" s="2" t="s">
        <v>1141</v>
      </c>
      <c r="I363" s="2" t="s">
        <v>1104</v>
      </c>
      <c r="J363" s="2" t="s">
        <v>1105</v>
      </c>
      <c r="K363" s="2" t="s">
        <v>21</v>
      </c>
      <c r="L363" s="2">
        <v>27601</v>
      </c>
      <c r="M363" s="2" t="s">
        <v>1172</v>
      </c>
    </row>
    <row r="364" spans="1:13" ht="63" x14ac:dyDescent="0.25">
      <c r="A364" s="2" t="s">
        <v>865</v>
      </c>
      <c r="B364" s="2" t="s">
        <v>1173</v>
      </c>
      <c r="C364" s="2" t="s">
        <v>370</v>
      </c>
      <c r="D364" s="2" t="s">
        <v>1174</v>
      </c>
      <c r="E364" s="2" t="s">
        <v>17</v>
      </c>
      <c r="F364" s="6" t="str">
        <f>HYPERLINK("https://twitter.com/VirginiaBridges","@VirginiaBridges")</f>
        <v>@VirginiaBridges</v>
      </c>
      <c r="G364" s="3" t="str">
        <f>HYPERLINK("mailto:vbridges@newsobserver.com","vbridges@newsobserver.com")</f>
        <v>vbridges@newsobserver.com</v>
      </c>
      <c r="H364" s="2" t="s">
        <v>1141</v>
      </c>
      <c r="I364" s="2" t="s">
        <v>1104</v>
      </c>
      <c r="J364" s="2" t="s">
        <v>1105</v>
      </c>
      <c r="K364" s="2" t="s">
        <v>21</v>
      </c>
      <c r="L364" s="2">
        <v>27601</v>
      </c>
      <c r="M364" s="2" t="s">
        <v>1175</v>
      </c>
    </row>
    <row r="365" spans="1:13" ht="63" x14ac:dyDescent="0.25">
      <c r="A365" s="2" t="s">
        <v>865</v>
      </c>
      <c r="B365" s="2" t="s">
        <v>144</v>
      </c>
      <c r="C365" s="2" t="s">
        <v>1176</v>
      </c>
      <c r="D365" s="2" t="s">
        <v>1177</v>
      </c>
      <c r="E365" s="2" t="s">
        <v>17</v>
      </c>
      <c r="F365" s="3" t="str">
        <f>HYPERLINK("https://twitter.com/Eric_Frederick","@Eric_Frederick")</f>
        <v>@Eric_Frederick</v>
      </c>
      <c r="G365" s="3" t="str">
        <f>HYPERLINK("mailto:efrederick@newsobserver.com","efrederick@newsobserver.com")</f>
        <v>efrederick@newsobserver.com</v>
      </c>
      <c r="H365" s="2" t="s">
        <v>1141</v>
      </c>
      <c r="I365" s="2" t="s">
        <v>1104</v>
      </c>
      <c r="J365" s="2" t="s">
        <v>1105</v>
      </c>
      <c r="K365" s="2" t="s">
        <v>21</v>
      </c>
      <c r="L365" s="2">
        <v>27601</v>
      </c>
      <c r="M365" s="2" t="s">
        <v>1178</v>
      </c>
    </row>
    <row r="366" spans="1:13" ht="63" x14ac:dyDescent="0.25">
      <c r="A366" s="2" t="s">
        <v>865</v>
      </c>
      <c r="B366" s="2" t="s">
        <v>1179</v>
      </c>
      <c r="C366" s="2" t="s">
        <v>1180</v>
      </c>
      <c r="D366" s="2" t="s">
        <v>384</v>
      </c>
      <c r="E366" s="2" t="s">
        <v>17</v>
      </c>
      <c r="F366" s="6" t="str">
        <f>HYPERLINK("https://twitter.com/janestancill","@janestancill")</f>
        <v>@janestancill</v>
      </c>
      <c r="G366" s="3" t="str">
        <f>HYPERLINK("mailto:jstancill@newsobserver.com","jstancill@newsobserver.com")</f>
        <v>jstancill@newsobserver.com</v>
      </c>
      <c r="H366" s="2" t="s">
        <v>1141</v>
      </c>
      <c r="I366" s="2" t="s">
        <v>1104</v>
      </c>
      <c r="J366" s="2" t="s">
        <v>1105</v>
      </c>
      <c r="K366" s="2" t="s">
        <v>21</v>
      </c>
      <c r="L366" s="2">
        <v>27601</v>
      </c>
      <c r="M366" s="2" t="s">
        <v>1181</v>
      </c>
    </row>
    <row r="367" spans="1:13" ht="94.5" x14ac:dyDescent="0.25">
      <c r="A367" s="2" t="s">
        <v>865</v>
      </c>
      <c r="B367" s="2" t="s">
        <v>1182</v>
      </c>
      <c r="C367" s="2" t="s">
        <v>1183</v>
      </c>
      <c r="D367" s="2" t="s">
        <v>496</v>
      </c>
      <c r="E367" s="2" t="s">
        <v>17</v>
      </c>
      <c r="F367" s="6" t="str">
        <f>HYPERLINK("https://twitter.com/joshshaffer08","@joshshaffer08")</f>
        <v>@joshshaffer08</v>
      </c>
      <c r="G367" s="3" t="str">
        <f>HYPERLINK("mailto:jshaffer@newsobserver.com","jshaffer@newsobserver.com")</f>
        <v>jshaffer@newsobserver.com</v>
      </c>
      <c r="H367" s="2" t="s">
        <v>1141</v>
      </c>
      <c r="I367" s="2" t="s">
        <v>1104</v>
      </c>
      <c r="J367" s="2" t="s">
        <v>1105</v>
      </c>
      <c r="K367" s="2" t="s">
        <v>21</v>
      </c>
      <c r="L367" s="2">
        <v>27601</v>
      </c>
      <c r="M367" s="2" t="s">
        <v>1184</v>
      </c>
    </row>
    <row r="368" spans="1:13" ht="47.25" x14ac:dyDescent="0.25">
      <c r="A368" s="2" t="s">
        <v>865</v>
      </c>
      <c r="B368" s="2" t="s">
        <v>1185</v>
      </c>
      <c r="C368" s="2" t="s">
        <v>1186</v>
      </c>
      <c r="D368" s="2" t="s">
        <v>1187</v>
      </c>
      <c r="E368" s="2" t="s">
        <v>17</v>
      </c>
      <c r="F368" s="3" t="str">
        <f>HYPERLINK("https://twitter.com/nckhui","@nckhui")</f>
        <v>@nckhui</v>
      </c>
      <c r="G368" s="3" t="str">
        <f>HYPERLINK("mailto:khui@newsobserver.com","khui@newsobserver.com")</f>
        <v>khui@newsobserver.com</v>
      </c>
      <c r="H368" s="2" t="s">
        <v>1141</v>
      </c>
      <c r="I368" s="2" t="s">
        <v>1104</v>
      </c>
      <c r="J368" s="2" t="s">
        <v>1105</v>
      </c>
      <c r="K368" s="2" t="s">
        <v>21</v>
      </c>
      <c r="L368" s="2">
        <v>27601</v>
      </c>
      <c r="M368" s="2" t="s">
        <v>1188</v>
      </c>
    </row>
    <row r="369" spans="1:13" ht="63" x14ac:dyDescent="0.25">
      <c r="A369" s="2" t="s">
        <v>865</v>
      </c>
      <c r="B369" s="2" t="s">
        <v>1189</v>
      </c>
      <c r="C369" s="2" t="s">
        <v>1190</v>
      </c>
      <c r="D369" s="2" t="s">
        <v>533</v>
      </c>
      <c r="E369" s="2" t="s">
        <v>17</v>
      </c>
      <c r="F369" s="5"/>
      <c r="G369" s="3" t="str">
        <f>HYPERLINK("mailto:tmcdonald@newsobserver.com","tmcdonald@newsobserver.com")</f>
        <v>tmcdonald@newsobserver.com</v>
      </c>
      <c r="H369" s="2" t="s">
        <v>1141</v>
      </c>
      <c r="I369" s="2" t="s">
        <v>1104</v>
      </c>
      <c r="J369" s="2" t="s">
        <v>1105</v>
      </c>
      <c r="K369" s="2" t="s">
        <v>21</v>
      </c>
      <c r="L369" s="2">
        <v>27601</v>
      </c>
      <c r="M369" s="2" t="s">
        <v>1191</v>
      </c>
    </row>
    <row r="370" spans="1:13" ht="63" x14ac:dyDescent="0.25">
      <c r="A370" s="2" t="s">
        <v>865</v>
      </c>
      <c r="B370" s="2" t="s">
        <v>1192</v>
      </c>
      <c r="C370" s="2" t="s">
        <v>1193</v>
      </c>
      <c r="D370" s="2" t="s">
        <v>1194</v>
      </c>
      <c r="E370" s="2" t="s">
        <v>17</v>
      </c>
      <c r="F370" s="6" t="str">
        <f>HYPERLINK("https://twitter.com/anneblythe1?lang=en","@AnneBlythe1")</f>
        <v>@AnneBlythe1</v>
      </c>
      <c r="G370" s="3" t="str">
        <f>HYPERLINK("mailto:ablythe@newsobserver.com","ablythe@newsobserver.com")</f>
        <v>ablythe@newsobserver.com</v>
      </c>
      <c r="H370" s="2" t="s">
        <v>1141</v>
      </c>
      <c r="I370" s="2" t="s">
        <v>1104</v>
      </c>
      <c r="J370" s="2" t="s">
        <v>1105</v>
      </c>
      <c r="K370" s="2" t="s">
        <v>21</v>
      </c>
      <c r="L370" s="2">
        <v>27601</v>
      </c>
      <c r="M370" s="2" t="s">
        <v>1195</v>
      </c>
    </row>
    <row r="371" spans="1:13" ht="94.5" x14ac:dyDescent="0.25">
      <c r="A371" s="2" t="s">
        <v>865</v>
      </c>
      <c r="B371" s="2" t="s">
        <v>1196</v>
      </c>
      <c r="C371" s="2" t="s">
        <v>1197</v>
      </c>
      <c r="D371" s="2" t="s">
        <v>1198</v>
      </c>
      <c r="E371" s="2" t="s">
        <v>17</v>
      </c>
      <c r="F371" s="6" t="str">
        <f>HYPERLINK("https://twitter.com/Lynn_Bonner","@Lynn_Bonner")</f>
        <v>@Lynn_Bonner</v>
      </c>
      <c r="G371" s="3" t="str">
        <f>HYPERLINK("mailto:lbonner@newsobserver.com","lbonner@newsobserver.com")</f>
        <v>lbonner@newsobserver.com</v>
      </c>
      <c r="H371" s="2" t="s">
        <v>1141</v>
      </c>
      <c r="I371" s="2" t="s">
        <v>1104</v>
      </c>
      <c r="J371" s="2" t="s">
        <v>1105</v>
      </c>
      <c r="K371" s="2" t="s">
        <v>21</v>
      </c>
      <c r="L371" s="2">
        <v>27601</v>
      </c>
      <c r="M371" s="2" t="s">
        <v>1199</v>
      </c>
    </row>
    <row r="372" spans="1:13" ht="63" x14ac:dyDescent="0.25">
      <c r="A372" s="2" t="s">
        <v>865</v>
      </c>
      <c r="B372" s="2" t="s">
        <v>1200</v>
      </c>
      <c r="C372" s="2" t="s">
        <v>1201</v>
      </c>
      <c r="D372" s="2" t="s">
        <v>1202</v>
      </c>
      <c r="E372" s="2" t="s">
        <v>17</v>
      </c>
      <c r="F372" s="6" t="str">
        <f>HYPERLINK("https://twitter.com/craigj_nando","@craigj_nando")</f>
        <v>@craigj_nando</v>
      </c>
      <c r="G372" s="3" t="str">
        <f>HYPERLINK("mailto:cjarvis@newsobserver.com","cjarvis@newsobserver.com")</f>
        <v>cjarvis@newsobserver.com</v>
      </c>
      <c r="H372" s="2" t="s">
        <v>1141</v>
      </c>
      <c r="I372" s="2" t="s">
        <v>1104</v>
      </c>
      <c r="J372" s="2" t="s">
        <v>1105</v>
      </c>
      <c r="K372" s="2" t="s">
        <v>21</v>
      </c>
      <c r="L372" s="2">
        <v>27601</v>
      </c>
      <c r="M372" s="2" t="s">
        <v>1203</v>
      </c>
    </row>
    <row r="373" spans="1:13" ht="47.25" x14ac:dyDescent="0.25">
      <c r="A373" s="2" t="s">
        <v>865</v>
      </c>
      <c r="B373" s="2" t="s">
        <v>1131</v>
      </c>
      <c r="C373" s="2" t="s">
        <v>1204</v>
      </c>
      <c r="D373" s="2" t="s">
        <v>1205</v>
      </c>
      <c r="E373" s="2" t="s">
        <v>17</v>
      </c>
      <c r="F373" s="6" t="str">
        <f>HYPERLINK("https://twitter.com/oldpolhack","@oldpolhack")</f>
        <v>@oldpolhack</v>
      </c>
      <c r="G373" s="3" t="str">
        <f>HYPERLINK("mailto:robc@newsobserver.com","robc@newsobserver.com")</f>
        <v>robc@newsobserver.com</v>
      </c>
      <c r="H373" s="2" t="s">
        <v>1141</v>
      </c>
      <c r="I373" s="2" t="s">
        <v>1104</v>
      </c>
      <c r="J373" s="2" t="s">
        <v>1105</v>
      </c>
      <c r="K373" s="2" t="s">
        <v>21</v>
      </c>
      <c r="L373" s="2">
        <v>27601</v>
      </c>
      <c r="M373" s="2" t="s">
        <v>1206</v>
      </c>
    </row>
    <row r="374" spans="1:13" ht="63" x14ac:dyDescent="0.25">
      <c r="A374" s="2" t="s">
        <v>865</v>
      </c>
      <c r="B374" s="2" t="s">
        <v>1144</v>
      </c>
      <c r="C374" s="2" t="s">
        <v>1207</v>
      </c>
      <c r="D374" s="2" t="s">
        <v>715</v>
      </c>
      <c r="E374" s="2" t="s">
        <v>17</v>
      </c>
      <c r="F374" s="6" t="str">
        <f>HYPERLINK("https://twitter.com/dankanenando","@dankanenando")</f>
        <v>@dankanenando</v>
      </c>
      <c r="G374" s="3" t="str">
        <f>HYPERLINK("mailto:dkane@newsobserver.com","dkane@newsobserver.com")</f>
        <v>dkane@newsobserver.com</v>
      </c>
      <c r="H374" s="2" t="s">
        <v>1141</v>
      </c>
      <c r="I374" s="2" t="s">
        <v>1104</v>
      </c>
      <c r="J374" s="2" t="s">
        <v>1105</v>
      </c>
      <c r="K374" s="2" t="s">
        <v>21</v>
      </c>
      <c r="L374" s="2">
        <v>27601</v>
      </c>
      <c r="M374" s="2" t="s">
        <v>1208</v>
      </c>
    </row>
    <row r="375" spans="1:13" ht="63" x14ac:dyDescent="0.25">
      <c r="A375" s="2" t="s">
        <v>865</v>
      </c>
      <c r="B375" s="2" t="s">
        <v>1209</v>
      </c>
      <c r="C375" s="2" t="s">
        <v>1210</v>
      </c>
      <c r="D375" s="2" t="s">
        <v>1211</v>
      </c>
      <c r="E375" s="2" t="s">
        <v>17</v>
      </c>
      <c r="F375" s="3" t="str">
        <f>HYPERLINK("https://twitter.com/MarthaQuillin","@MarthaQuillin")</f>
        <v>@MarthaQuillin</v>
      </c>
      <c r="G375" s="3" t="str">
        <f>HYPERLINK("mailto:mquillin@newsobserver.com","mquillin@newsobserver.com")</f>
        <v>mquillin@newsobserver.com</v>
      </c>
      <c r="H375" s="2" t="s">
        <v>1141</v>
      </c>
      <c r="I375" s="2" t="s">
        <v>1104</v>
      </c>
      <c r="J375" s="2" t="s">
        <v>1105</v>
      </c>
      <c r="K375" s="2" t="s">
        <v>21</v>
      </c>
      <c r="L375" s="2">
        <v>27601</v>
      </c>
      <c r="M375" s="2" t="s">
        <v>1212</v>
      </c>
    </row>
    <row r="376" spans="1:13" ht="63" x14ac:dyDescent="0.25">
      <c r="A376" s="2" t="s">
        <v>865</v>
      </c>
      <c r="B376" s="2" t="s">
        <v>1213</v>
      </c>
      <c r="C376" s="2" t="s">
        <v>1214</v>
      </c>
      <c r="D376" s="2" t="s">
        <v>1215</v>
      </c>
      <c r="E376" s="2" t="s">
        <v>17</v>
      </c>
      <c r="F376" s="3" t="str">
        <f>HYPERLINK("https://twitter.com/brookecain","@brookecain")</f>
        <v>@brookecain</v>
      </c>
      <c r="G376" s="3" t="str">
        <f>HYPERLINK("mailto:bcain@newsobserver.com","bcain@newsobserver.com")</f>
        <v>bcain@newsobserver.com</v>
      </c>
      <c r="H376" s="2" t="s">
        <v>1141</v>
      </c>
      <c r="I376" s="2" t="s">
        <v>1104</v>
      </c>
      <c r="J376" s="2" t="s">
        <v>1105</v>
      </c>
      <c r="K376" s="2" t="s">
        <v>21</v>
      </c>
      <c r="L376" s="2">
        <v>27601</v>
      </c>
      <c r="M376" s="2" t="s">
        <v>1216</v>
      </c>
    </row>
    <row r="377" spans="1:13" ht="63" x14ac:dyDescent="0.25">
      <c r="A377" s="2" t="s">
        <v>865</v>
      </c>
      <c r="B377" s="2" t="s">
        <v>1217</v>
      </c>
      <c r="C377" s="2" t="s">
        <v>1218</v>
      </c>
      <c r="D377" s="2" t="s">
        <v>1219</v>
      </c>
      <c r="E377" s="2" t="s">
        <v>17</v>
      </c>
      <c r="F377" s="3" t="str">
        <f>HYPERLINK("https://twitter.com/BobBrueckner","@BobBrueckner")</f>
        <v>@BobBrueckner</v>
      </c>
      <c r="G377" s="3" t="str">
        <f>HYPERLINK("mailto:bbrueckner@newsobserver.com","bbrueckner@newsobserver.com")</f>
        <v>bbrueckner@newsobserver.com</v>
      </c>
      <c r="H377" s="2" t="s">
        <v>1141</v>
      </c>
      <c r="I377" s="2" t="s">
        <v>1104</v>
      </c>
      <c r="J377" s="2" t="s">
        <v>1105</v>
      </c>
      <c r="K377" s="2" t="s">
        <v>21</v>
      </c>
      <c r="L377" s="2">
        <v>27601</v>
      </c>
      <c r="M377" s="2" t="s">
        <v>1220</v>
      </c>
    </row>
    <row r="378" spans="1:13" ht="63" x14ac:dyDescent="0.25">
      <c r="A378" s="2" t="s">
        <v>865</v>
      </c>
      <c r="B378" s="2" t="s">
        <v>554</v>
      </c>
      <c r="C378" s="2" t="s">
        <v>1221</v>
      </c>
      <c r="D378" s="2" t="s">
        <v>1219</v>
      </c>
      <c r="E378" s="2" t="s">
        <v>17</v>
      </c>
      <c r="F378" s="3" t="str">
        <f>HYPERLINK("https://twitter.com/haikuhijinks","@haikuhijinks")</f>
        <v>@haikuhijinks</v>
      </c>
      <c r="G378" s="3" t="str">
        <f>HYPERLINK("mailto:aroman@newsobserver.com","aroman@newsobserver.com")</f>
        <v>aroman@newsobserver.com</v>
      </c>
      <c r="H378" s="2" t="s">
        <v>1141</v>
      </c>
      <c r="I378" s="2" t="s">
        <v>1104</v>
      </c>
      <c r="J378" s="2" t="s">
        <v>1105</v>
      </c>
      <c r="K378" s="2" t="s">
        <v>21</v>
      </c>
      <c r="L378" s="2">
        <v>27601</v>
      </c>
      <c r="M378" s="2" t="s">
        <v>1222</v>
      </c>
    </row>
    <row r="379" spans="1:13" ht="63" x14ac:dyDescent="0.25">
      <c r="A379" s="2" t="s">
        <v>865</v>
      </c>
      <c r="B379" s="2" t="s">
        <v>337</v>
      </c>
      <c r="C379" s="2" t="s">
        <v>1223</v>
      </c>
      <c r="D379" s="2" t="s">
        <v>1224</v>
      </c>
      <c r="E379" s="2" t="s">
        <v>17</v>
      </c>
      <c r="F379" s="3" t="str">
        <f>HYPERLINK("https://twitter.com/ScottBolejack","@ScottBolejack")</f>
        <v>@ScottBolejack</v>
      </c>
      <c r="G379" s="3" t="str">
        <f>HYPERLINK("mailto:sbolejack@newsobserver.com","sbolejack@newsobserver.com")</f>
        <v>sbolejack@newsobserver.com</v>
      </c>
      <c r="H379" s="2" t="s">
        <v>1141</v>
      </c>
      <c r="I379" s="2" t="s">
        <v>1104</v>
      </c>
      <c r="J379" s="2" t="s">
        <v>1105</v>
      </c>
      <c r="K379" s="2" t="s">
        <v>21</v>
      </c>
      <c r="L379" s="2">
        <v>27601</v>
      </c>
      <c r="M379" s="2" t="s">
        <v>1216</v>
      </c>
    </row>
    <row r="380" spans="1:13" ht="63" x14ac:dyDescent="0.25">
      <c r="A380" s="2" t="s">
        <v>865</v>
      </c>
      <c r="B380" s="2" t="s">
        <v>1225</v>
      </c>
      <c r="C380" s="2" t="s">
        <v>1226</v>
      </c>
      <c r="D380" s="2" t="s">
        <v>1227</v>
      </c>
      <c r="E380" s="2" t="s">
        <v>17</v>
      </c>
      <c r="F380" s="3" t="str">
        <f>HYPERLINK("https://twitter.com/AbbieRBennett","@AbbieRBennett")</f>
        <v>@AbbieRBennett</v>
      </c>
      <c r="G380" s="3" t="str">
        <f>HYPERLINK("mailto:abennett@newsobserver.com","abennett@newsobserver.com")</f>
        <v>abennett@newsobserver.com</v>
      </c>
      <c r="H380" s="2" t="s">
        <v>1141</v>
      </c>
      <c r="I380" s="2" t="s">
        <v>1104</v>
      </c>
      <c r="J380" s="2" t="s">
        <v>1105</v>
      </c>
      <c r="K380" s="2" t="s">
        <v>21</v>
      </c>
      <c r="L380" s="2">
        <v>27601</v>
      </c>
      <c r="M380" s="2" t="s">
        <v>1216</v>
      </c>
    </row>
    <row r="381" spans="1:13" ht="63" x14ac:dyDescent="0.25">
      <c r="A381" s="2" t="s">
        <v>865</v>
      </c>
      <c r="B381" s="2" t="s">
        <v>286</v>
      </c>
      <c r="C381" s="2" t="s">
        <v>24</v>
      </c>
      <c r="D381" s="2" t="s">
        <v>1228</v>
      </c>
      <c r="E381" s="2" t="s">
        <v>17</v>
      </c>
      <c r="F381" s="3" t="str">
        <f>HYPERLINK("https://twitter.com/jdrewjackson?lang=en","@jdrewjackson")</f>
        <v>@jdrewjackson</v>
      </c>
      <c r="G381" s="3" t="str">
        <f>HYPERLINK("mailto:djackson@newsobserver.com","djackson@newsobserver.com")</f>
        <v>djackson@newsobserver.com</v>
      </c>
      <c r="H381" s="2" t="s">
        <v>1141</v>
      </c>
      <c r="I381" s="2" t="s">
        <v>1104</v>
      </c>
      <c r="J381" s="2" t="s">
        <v>1105</v>
      </c>
      <c r="K381" s="2" t="s">
        <v>21</v>
      </c>
      <c r="L381" s="2">
        <v>27601</v>
      </c>
      <c r="M381" s="2" t="s">
        <v>1216</v>
      </c>
    </row>
    <row r="382" spans="1:13" ht="63" x14ac:dyDescent="0.25">
      <c r="A382" s="2" t="s">
        <v>865</v>
      </c>
      <c r="B382" s="2" t="s">
        <v>1096</v>
      </c>
      <c r="C382" s="2" t="s">
        <v>1229</v>
      </c>
      <c r="D382" s="2" t="s">
        <v>1230</v>
      </c>
      <c r="E382" s="2" t="s">
        <v>17</v>
      </c>
      <c r="F382" s="3" t="str">
        <f>HYPERLINK("https://twitter.com/NCDavidMenconi","@NCDavidMenconi")</f>
        <v>@NCDavidMenconi</v>
      </c>
      <c r="G382" s="3" t="str">
        <f>HYPERLINK("mailto:dmenconi@newsobserver.com","dmenconi@newsobserver.com")</f>
        <v>dmenconi@newsobserver.com</v>
      </c>
      <c r="H382" s="2" t="s">
        <v>1141</v>
      </c>
      <c r="I382" s="2" t="s">
        <v>1104</v>
      </c>
      <c r="J382" s="2" t="s">
        <v>1105</v>
      </c>
      <c r="K382" s="2" t="s">
        <v>21</v>
      </c>
      <c r="L382" s="2">
        <v>27601</v>
      </c>
      <c r="M382" s="2" t="s">
        <v>1231</v>
      </c>
    </row>
    <row r="383" spans="1:13" ht="110.25" x14ac:dyDescent="0.25">
      <c r="A383" s="2" t="s">
        <v>865</v>
      </c>
      <c r="B383" s="2" t="s">
        <v>1232</v>
      </c>
      <c r="C383" s="2" t="s">
        <v>1233</v>
      </c>
      <c r="D383" s="2" t="s">
        <v>1234</v>
      </c>
      <c r="E383" s="7" t="s">
        <v>17</v>
      </c>
      <c r="F383" s="3" t="str">
        <f>HYPERLINK("https://twitter.com/sarah_nagem?lang=en","@sarah_nagem")</f>
        <v>@sarah_nagem</v>
      </c>
      <c r="G383" s="3" t="str">
        <f>HYPERLINK("mailto:snagem@newsobserver.com","snagem@newsobserver.com")</f>
        <v>snagem@newsobserver.com</v>
      </c>
      <c r="H383" s="2" t="s">
        <v>1235</v>
      </c>
      <c r="I383" s="2" t="s">
        <v>1104</v>
      </c>
      <c r="J383" s="2" t="s">
        <v>1105</v>
      </c>
      <c r="K383" s="2" t="s">
        <v>21</v>
      </c>
      <c r="L383" s="2">
        <v>27601</v>
      </c>
      <c r="M383" s="2" t="s">
        <v>1236</v>
      </c>
    </row>
    <row r="384" spans="1:13" ht="63" x14ac:dyDescent="0.25">
      <c r="A384" s="2" t="s">
        <v>865</v>
      </c>
      <c r="B384" s="2" t="s">
        <v>1237</v>
      </c>
      <c r="C384" s="2" t="s">
        <v>718</v>
      </c>
      <c r="D384" s="2" t="s">
        <v>1238</v>
      </c>
      <c r="E384" s="2" t="s">
        <v>17</v>
      </c>
      <c r="F384" s="3" t="str">
        <f>HYPERLINK("https://twitter.com/jonmalexander?lang=en","@jonmalexander1 ")</f>
        <v xml:space="preserve">@jonmalexander1 </v>
      </c>
      <c r="G384" s="3" t="str">
        <f>HYPERLINK("mailto:jalexander@newsobserver.com","jalexander@newsobserver.com")</f>
        <v>jalexander@newsobserver.com</v>
      </c>
      <c r="H384" s="2" t="s">
        <v>1235</v>
      </c>
      <c r="I384" s="2" t="s">
        <v>1104</v>
      </c>
      <c r="J384" s="2" t="s">
        <v>1105</v>
      </c>
      <c r="K384" s="2" t="s">
        <v>21</v>
      </c>
      <c r="L384" s="2">
        <v>27602</v>
      </c>
      <c r="M384" s="2" t="s">
        <v>1239</v>
      </c>
    </row>
    <row r="385" spans="1:13" ht="63" x14ac:dyDescent="0.25">
      <c r="A385" s="2" t="s">
        <v>865</v>
      </c>
      <c r="B385" s="2" t="s">
        <v>35</v>
      </c>
      <c r="C385" s="2" t="s">
        <v>1240</v>
      </c>
      <c r="D385" s="2" t="s">
        <v>1241</v>
      </c>
      <c r="E385" s="7" t="s">
        <v>17</v>
      </c>
      <c r="F385" s="3" t="str">
        <f>HYPERLINK("https://twitter.com/jessicabanov","@jessicabanov")</f>
        <v>@jessicabanov</v>
      </c>
      <c r="G385" s="3" t="str">
        <f>HYPERLINK("mailto:featureseds@newsobserver.com","featureseds@newsobserver.com")</f>
        <v>featureseds@newsobserver.com</v>
      </c>
      <c r="H385" s="2" t="s">
        <v>1117</v>
      </c>
      <c r="I385" s="2" t="s">
        <v>1118</v>
      </c>
      <c r="J385" s="2" t="s">
        <v>1105</v>
      </c>
      <c r="K385" s="2" t="s">
        <v>21</v>
      </c>
      <c r="L385" s="2">
        <v>27511</v>
      </c>
      <c r="M385" s="2" t="s">
        <v>1236</v>
      </c>
    </row>
    <row r="386" spans="1:13" ht="63" x14ac:dyDescent="0.25">
      <c r="A386" s="2" t="s">
        <v>865</v>
      </c>
      <c r="B386" s="2" t="s">
        <v>395</v>
      </c>
      <c r="C386" s="2" t="s">
        <v>1242</v>
      </c>
      <c r="D386" s="2" t="s">
        <v>1243</v>
      </c>
      <c r="E386" s="2" t="s">
        <v>17</v>
      </c>
      <c r="F386" s="3" t="str">
        <f>HYPERLINK("https://twitter.com/AndySpecht?ref_src=twsrc%5Egoogle%7Ctwcamp%5Eserp%7Ctwgr%5Eauthor","@andyspecht")</f>
        <v>@andyspecht</v>
      </c>
      <c r="G386" s="3" t="str">
        <f>HYPERLINK("mailto:aspecht@newsobserver.com","aspecht@newsobserver.com")</f>
        <v>aspecht@newsobserver.com</v>
      </c>
      <c r="H386" s="2" t="s">
        <v>1117</v>
      </c>
      <c r="I386" s="2" t="s">
        <v>1118</v>
      </c>
      <c r="J386" s="2" t="s">
        <v>1105</v>
      </c>
      <c r="K386" s="2" t="s">
        <v>21</v>
      </c>
      <c r="L386" s="2">
        <v>27511</v>
      </c>
      <c r="M386" s="2" t="s">
        <v>1244</v>
      </c>
    </row>
    <row r="387" spans="1:13" ht="63" x14ac:dyDescent="0.25">
      <c r="A387" s="2" t="s">
        <v>865</v>
      </c>
      <c r="B387" s="7"/>
      <c r="C387" s="7"/>
      <c r="D387" s="2" t="s">
        <v>1245</v>
      </c>
      <c r="E387" s="2" t="s">
        <v>17</v>
      </c>
      <c r="F387" s="3" t="str">
        <f>HYPERLINK("https://twitter.com/newsobserver","@newsobserver")</f>
        <v>@newsobserver</v>
      </c>
      <c r="G387" s="3" t="str">
        <f>HYPERLINK("mailto:content@newsobserver.com","content@newsobserver.com  ")</f>
        <v xml:space="preserve">content@newsobserver.com  </v>
      </c>
      <c r="H387" s="2" t="s">
        <v>1235</v>
      </c>
      <c r="I387" s="2" t="s">
        <v>1104</v>
      </c>
      <c r="J387" s="2" t="s">
        <v>1105</v>
      </c>
      <c r="K387" s="2" t="s">
        <v>21</v>
      </c>
      <c r="L387" s="2">
        <v>27602</v>
      </c>
      <c r="M387" s="2" t="s">
        <v>1246</v>
      </c>
    </row>
    <row r="388" spans="1:13" ht="47.25" x14ac:dyDescent="0.25">
      <c r="A388" s="2" t="s">
        <v>865</v>
      </c>
      <c r="B388" s="7"/>
      <c r="C388" s="7"/>
      <c r="D388" s="2" t="s">
        <v>38</v>
      </c>
      <c r="E388" s="2" t="s">
        <v>17</v>
      </c>
      <c r="F388" s="3" t="str">
        <f>HYPERLINK("https://twitter.com/newsobserver","@newsobserver")</f>
        <v>@newsobserver</v>
      </c>
      <c r="G388" s="6" t="str">
        <f>HYPERLINK("mailto:forum@newsobserver.com","forum@newsobserver.com")</f>
        <v>forum@newsobserver.com</v>
      </c>
      <c r="H388" s="2" t="s">
        <v>1141</v>
      </c>
      <c r="I388" s="2" t="s">
        <v>1104</v>
      </c>
      <c r="J388" s="2" t="s">
        <v>1105</v>
      </c>
      <c r="K388" s="2" t="s">
        <v>21</v>
      </c>
      <c r="L388" s="2">
        <v>27602</v>
      </c>
      <c r="M388" s="2" t="s">
        <v>1246</v>
      </c>
    </row>
    <row r="389" spans="1:13" ht="63" x14ac:dyDescent="0.25">
      <c r="A389" s="2" t="s">
        <v>865</v>
      </c>
      <c r="B389" s="2" t="s">
        <v>1247</v>
      </c>
      <c r="C389" s="2" t="s">
        <v>1248</v>
      </c>
      <c r="D389" s="2" t="s">
        <v>1249</v>
      </c>
      <c r="E389" s="2" t="s">
        <v>17</v>
      </c>
      <c r="F389" s="5" t="s">
        <v>1250</v>
      </c>
      <c r="G389" s="3" t="str">
        <f>HYPERLINK("mailto:barrys@newsobserver.com","barrys@newsobserver.com")</f>
        <v>barrys@newsobserver.com</v>
      </c>
      <c r="H389" s="2" t="s">
        <v>1141</v>
      </c>
      <c r="I389" s="2" t="s">
        <v>1104</v>
      </c>
      <c r="J389" s="2" t="s">
        <v>1105</v>
      </c>
      <c r="K389" s="2" t="s">
        <v>21</v>
      </c>
      <c r="L389" s="2">
        <v>27602</v>
      </c>
      <c r="M389" s="2" t="s">
        <v>1251</v>
      </c>
    </row>
    <row r="390" spans="1:13" ht="63" x14ac:dyDescent="0.25">
      <c r="A390" s="2" t="s">
        <v>865</v>
      </c>
      <c r="B390" s="7"/>
      <c r="C390" s="7"/>
      <c r="D390" s="2" t="s">
        <v>1245</v>
      </c>
      <c r="E390" s="2" t="s">
        <v>17</v>
      </c>
      <c r="F390" s="3" t="str">
        <f>HYPERLINK("https://twitter.com/newsobserver","@newsobserver")</f>
        <v>@newsobserver</v>
      </c>
      <c r="G390" s="3" t="str">
        <f>HYPERLINK("mailto:content@newsobserver.com","content@newsobserver.com  ")</f>
        <v xml:space="preserve">content@newsobserver.com  </v>
      </c>
      <c r="H390" s="2" t="s">
        <v>1235</v>
      </c>
      <c r="I390" s="2" t="s">
        <v>1104</v>
      </c>
      <c r="J390" s="2" t="s">
        <v>1105</v>
      </c>
      <c r="K390" s="2" t="s">
        <v>21</v>
      </c>
      <c r="L390" s="2">
        <v>27602</v>
      </c>
      <c r="M390" s="2" t="s">
        <v>1246</v>
      </c>
    </row>
    <row r="391" spans="1:13" ht="47.25" x14ac:dyDescent="0.25">
      <c r="A391" s="2" t="s">
        <v>865</v>
      </c>
      <c r="B391" s="7"/>
      <c r="C391" s="7"/>
      <c r="D391" s="2" t="s">
        <v>38</v>
      </c>
      <c r="E391" s="2" t="s">
        <v>17</v>
      </c>
      <c r="F391" s="3" t="str">
        <f>HYPERLINK("https://twitter.com/newsobserver","@newsobserver")</f>
        <v>@newsobserver</v>
      </c>
      <c r="G391" s="6" t="str">
        <f>HYPERLINK("mailto:forum@newsobserver.com","forum@newsobserver.com")</f>
        <v>forum@newsobserver.com</v>
      </c>
      <c r="H391" s="2" t="s">
        <v>1141</v>
      </c>
      <c r="I391" s="2" t="s">
        <v>1104</v>
      </c>
      <c r="J391" s="2" t="s">
        <v>1105</v>
      </c>
      <c r="K391" s="2" t="s">
        <v>21</v>
      </c>
      <c r="L391" s="2">
        <v>27602</v>
      </c>
      <c r="M391" s="2" t="s">
        <v>1246</v>
      </c>
    </row>
    <row r="392" spans="1:13" ht="63" x14ac:dyDescent="0.25">
      <c r="A392" s="2" t="s">
        <v>1252</v>
      </c>
      <c r="B392" s="2" t="s">
        <v>286</v>
      </c>
      <c r="C392" s="2" t="s">
        <v>1253</v>
      </c>
      <c r="D392" s="2" t="s">
        <v>65</v>
      </c>
      <c r="E392" s="2" t="s">
        <v>100</v>
      </c>
      <c r="F392" s="6" t="str">
        <f>HYPERLINK("https://twitter.com/jdelliot","@jdelliot")</f>
        <v>@jdelliot</v>
      </c>
      <c r="G392" s="6" t="str">
        <f>HYPERLINK("mailto:info@nsjonline.com","info@nsjonline.com")</f>
        <v>info@nsjonline.com</v>
      </c>
      <c r="H392" s="2" t="s">
        <v>1254</v>
      </c>
      <c r="I392" s="2" t="s">
        <v>1104</v>
      </c>
      <c r="J392" s="2" t="s">
        <v>1105</v>
      </c>
      <c r="K392" s="2" t="s">
        <v>21</v>
      </c>
      <c r="L392" s="2">
        <v>27603</v>
      </c>
      <c r="M392" s="2" t="s">
        <v>1255</v>
      </c>
    </row>
    <row r="393" spans="1:13" ht="63" x14ac:dyDescent="0.25">
      <c r="A393" s="2" t="s">
        <v>1252</v>
      </c>
      <c r="B393" s="2" t="s">
        <v>571</v>
      </c>
      <c r="C393" s="2" t="s">
        <v>1256</v>
      </c>
      <c r="D393" s="2" t="s">
        <v>117</v>
      </c>
      <c r="E393" s="2" t="s">
        <v>100</v>
      </c>
      <c r="F393" s="6" t="str">
        <f>HYPERLINK("https://twitter.com/donnaKing1887","@donnaKing1887")</f>
        <v>@donnaKing1887</v>
      </c>
      <c r="G393" s="6" t="str">
        <f>HYPERLINK("mailto:info@nsjonline.com","info@nsjonline.com")</f>
        <v>info@nsjonline.com</v>
      </c>
      <c r="H393" s="2" t="s">
        <v>1254</v>
      </c>
      <c r="I393" s="2" t="s">
        <v>1104</v>
      </c>
      <c r="J393" s="2" t="s">
        <v>1105</v>
      </c>
      <c r="K393" s="2" t="s">
        <v>21</v>
      </c>
      <c r="L393" s="2">
        <v>27603</v>
      </c>
      <c r="M393" s="2" t="s">
        <v>1255</v>
      </c>
    </row>
    <row r="394" spans="1:13" ht="63" x14ac:dyDescent="0.25">
      <c r="A394" s="2" t="s">
        <v>1252</v>
      </c>
      <c r="B394" s="2" t="s">
        <v>1257</v>
      </c>
      <c r="C394" s="2" t="s">
        <v>1258</v>
      </c>
      <c r="D394" s="2" t="s">
        <v>16</v>
      </c>
      <c r="E394" s="2" t="s">
        <v>100</v>
      </c>
      <c r="F394" s="6" t="str">
        <f>HYPERLINK("https://twitter.com/nealrobbins","@nealrobbins")</f>
        <v>@nealrobbins</v>
      </c>
      <c r="G394" s="6" t="str">
        <f>HYPERLINK("mailto:info@nsjonline.com","info@nsjonline.com")</f>
        <v>info@nsjonline.com</v>
      </c>
      <c r="H394" s="2" t="s">
        <v>1254</v>
      </c>
      <c r="I394" s="2" t="s">
        <v>1104</v>
      </c>
      <c r="J394" s="2" t="s">
        <v>1105</v>
      </c>
      <c r="K394" s="2" t="s">
        <v>21</v>
      </c>
      <c r="L394" s="2">
        <v>27603</v>
      </c>
      <c r="M394" s="2" t="s">
        <v>1255</v>
      </c>
    </row>
    <row r="395" spans="1:13" ht="63" x14ac:dyDescent="0.25">
      <c r="A395" s="2" t="s">
        <v>1252</v>
      </c>
      <c r="B395" s="2" t="s">
        <v>405</v>
      </c>
      <c r="C395" s="2" t="s">
        <v>1259</v>
      </c>
      <c r="D395" s="2" t="s">
        <v>1260</v>
      </c>
      <c r="E395" s="2" t="s">
        <v>100</v>
      </c>
      <c r="F395" s="2"/>
      <c r="G395" s="6" t="str">
        <f>HYPERLINK("mailto:info@nsjonline.com","info@nsjonline.com")</f>
        <v>info@nsjonline.com</v>
      </c>
      <c r="H395" s="2" t="s">
        <v>1254</v>
      </c>
      <c r="I395" s="2" t="s">
        <v>1104</v>
      </c>
      <c r="J395" s="2" t="s">
        <v>1105</v>
      </c>
      <c r="K395" s="2" t="s">
        <v>21</v>
      </c>
      <c r="L395" s="2">
        <v>27603</v>
      </c>
      <c r="M395" s="2" t="s">
        <v>1255</v>
      </c>
    </row>
    <row r="396" spans="1:13" ht="78.75" x14ac:dyDescent="0.25">
      <c r="A396" s="2" t="s">
        <v>1261</v>
      </c>
      <c r="B396" s="2" t="s">
        <v>1262</v>
      </c>
      <c r="C396" s="2" t="s">
        <v>1263</v>
      </c>
      <c r="D396" s="2" t="s">
        <v>16</v>
      </c>
      <c r="E396" s="2" t="s">
        <v>100</v>
      </c>
      <c r="F396" s="7"/>
      <c r="G396" s="3" t="str">
        <f>HYPERLINK("mailto:press@welovedowntown.com","press@welovedowntown.com")</f>
        <v>press@welovedowntown.com</v>
      </c>
      <c r="H396" s="2" t="s">
        <v>1264</v>
      </c>
      <c r="I396" s="2" t="s">
        <v>1104</v>
      </c>
      <c r="J396" s="2" t="s">
        <v>1105</v>
      </c>
      <c r="K396" s="2" t="s">
        <v>21</v>
      </c>
      <c r="L396" s="2">
        <v>27611</v>
      </c>
      <c r="M396" s="2" t="s">
        <v>1265</v>
      </c>
    </row>
    <row r="397" spans="1:13" ht="47.25" x14ac:dyDescent="0.25">
      <c r="A397" s="2" t="s">
        <v>1266</v>
      </c>
      <c r="B397" s="5" t="s">
        <v>557</v>
      </c>
      <c r="C397" s="5" t="s">
        <v>1267</v>
      </c>
      <c r="D397" s="5" t="s">
        <v>117</v>
      </c>
      <c r="E397" s="2" t="s">
        <v>100</v>
      </c>
      <c r="F397" s="6" t="str">
        <f>HYPERLINK("https://twitter.com/DerekMedlin","@DerekMedlin")</f>
        <v>@DerekMedlin</v>
      </c>
      <c r="G397" s="5" t="s">
        <v>1268</v>
      </c>
      <c r="H397" s="5" t="s">
        <v>1111</v>
      </c>
      <c r="I397" s="5" t="s">
        <v>1104</v>
      </c>
      <c r="J397" s="5" t="s">
        <v>1105</v>
      </c>
      <c r="K397" s="5" t="s">
        <v>21</v>
      </c>
      <c r="L397" s="5">
        <v>27606</v>
      </c>
      <c r="M397" s="5" t="s">
        <v>1269</v>
      </c>
    </row>
    <row r="398" spans="1:13" ht="47.25" x14ac:dyDescent="0.25">
      <c r="A398" s="2" t="s">
        <v>1266</v>
      </c>
      <c r="B398" s="5" t="s">
        <v>1270</v>
      </c>
      <c r="C398" s="5" t="s">
        <v>1271</v>
      </c>
      <c r="D398" s="5" t="s">
        <v>106</v>
      </c>
      <c r="E398" s="2" t="s">
        <v>100</v>
      </c>
      <c r="F398" s="6" t="str">
        <f>HYPERLINK("https://twitter.com/mtdukes","@mtdukes")</f>
        <v>@mtdukes</v>
      </c>
      <c r="G398" s="6" t="str">
        <f>HYPERLINK("mailto:tdukes@wral.com","tdukes@wral.com")</f>
        <v>tdukes@wral.com</v>
      </c>
      <c r="H398" s="5" t="s">
        <v>1111</v>
      </c>
      <c r="I398" s="5" t="s">
        <v>1104</v>
      </c>
      <c r="J398" s="5" t="s">
        <v>1105</v>
      </c>
      <c r="K398" s="5" t="s">
        <v>21</v>
      </c>
      <c r="L398" s="5">
        <v>27606</v>
      </c>
      <c r="M398" s="5" t="s">
        <v>1272</v>
      </c>
    </row>
    <row r="399" spans="1:13" ht="31.5" x14ac:dyDescent="0.25">
      <c r="A399" s="7" t="s">
        <v>1273</v>
      </c>
      <c r="B399" s="5" t="s">
        <v>1189</v>
      </c>
      <c r="C399" s="5" t="s">
        <v>1274</v>
      </c>
      <c r="D399" s="5" t="s">
        <v>51</v>
      </c>
      <c r="E399" s="16" t="s">
        <v>17</v>
      </c>
      <c r="F399" s="10"/>
      <c r="G399" s="17" t="str">
        <f>HYPERLINK("mailto:tvick@curtismedia.com","tvick@curtismedia.com")</f>
        <v>tvick@curtismedia.com</v>
      </c>
      <c r="H399" s="5" t="s">
        <v>1275</v>
      </c>
      <c r="I399" s="5" t="s">
        <v>1276</v>
      </c>
      <c r="J399" s="5" t="s">
        <v>1277</v>
      </c>
      <c r="K399" s="5" t="s">
        <v>21</v>
      </c>
      <c r="L399" s="5"/>
      <c r="M399" s="5" t="s">
        <v>1278</v>
      </c>
    </row>
    <row r="400" spans="1:13" ht="47.25" x14ac:dyDescent="0.25">
      <c r="A400" s="2" t="s">
        <v>1279</v>
      </c>
      <c r="B400" s="2" t="s">
        <v>1280</v>
      </c>
      <c r="C400" s="2" t="s">
        <v>1281</v>
      </c>
      <c r="D400" s="2" t="s">
        <v>16</v>
      </c>
      <c r="E400" s="2" t="s">
        <v>17</v>
      </c>
      <c r="F400" s="2"/>
      <c r="G400" s="3" t="str">
        <f>HYPERLINK("mailto:htanner@newsargus.com","htanner@newsargus.com")</f>
        <v>htanner@newsargus.com</v>
      </c>
      <c r="H400" s="2" t="s">
        <v>1282</v>
      </c>
      <c r="I400" s="2" t="s">
        <v>1276</v>
      </c>
      <c r="J400" s="2" t="s">
        <v>1277</v>
      </c>
      <c r="K400" s="2" t="s">
        <v>21</v>
      </c>
      <c r="L400" s="2">
        <v>27532</v>
      </c>
      <c r="M400" s="2" t="s">
        <v>1283</v>
      </c>
    </row>
    <row r="401" spans="1:13" ht="47.25" x14ac:dyDescent="0.25">
      <c r="A401" s="2" t="s">
        <v>1279</v>
      </c>
      <c r="B401" s="2" t="s">
        <v>1284</v>
      </c>
      <c r="C401" s="2" t="s">
        <v>1285</v>
      </c>
      <c r="D401" s="2" t="s">
        <v>25</v>
      </c>
      <c r="E401" s="2" t="s">
        <v>17</v>
      </c>
      <c r="F401" s="2"/>
      <c r="G401" s="3" t="str">
        <f>HYPERLINK("mailto:dhill@newsargus.com","dhill@newsargus.com")</f>
        <v>dhill@newsargus.com</v>
      </c>
      <c r="H401" s="2" t="s">
        <v>1282</v>
      </c>
      <c r="I401" s="2" t="s">
        <v>1276</v>
      </c>
      <c r="J401" s="2" t="s">
        <v>1277</v>
      </c>
      <c r="K401" s="2" t="s">
        <v>21</v>
      </c>
      <c r="L401" s="2">
        <v>27532</v>
      </c>
      <c r="M401" s="2" t="s">
        <v>1286</v>
      </c>
    </row>
    <row r="402" spans="1:13" ht="47.25" x14ac:dyDescent="0.25">
      <c r="A402" s="2" t="s">
        <v>1279</v>
      </c>
      <c r="B402" s="2" t="s">
        <v>1287</v>
      </c>
      <c r="C402" s="2" t="s">
        <v>1288</v>
      </c>
      <c r="D402" s="2" t="s">
        <v>1289</v>
      </c>
      <c r="E402" s="2" t="s">
        <v>17</v>
      </c>
      <c r="F402" s="2"/>
      <c r="G402" s="3" t="str">
        <f>HYPERLINK("mailto:bbarclay@newsargus.com","bbarclay@newsargus.com")</f>
        <v>bbarclay@newsargus.com</v>
      </c>
      <c r="H402" s="2" t="s">
        <v>1282</v>
      </c>
      <c r="I402" s="2" t="s">
        <v>1276</v>
      </c>
      <c r="J402" s="2" t="s">
        <v>1277</v>
      </c>
      <c r="K402" s="2" t="s">
        <v>21</v>
      </c>
      <c r="L402" s="2">
        <v>27532</v>
      </c>
      <c r="M402" s="2" t="s">
        <v>1286</v>
      </c>
    </row>
    <row r="403" spans="1:13" ht="47.25" x14ac:dyDescent="0.25">
      <c r="A403" s="2" t="s">
        <v>1279</v>
      </c>
      <c r="B403" s="2" t="s">
        <v>1290</v>
      </c>
      <c r="C403" s="2" t="s">
        <v>116</v>
      </c>
      <c r="D403" s="2" t="s">
        <v>1291</v>
      </c>
      <c r="E403" s="2" t="s">
        <v>17</v>
      </c>
      <c r="F403" s="2"/>
      <c r="G403" s="3" t="str">
        <f>HYPERLINK("mailto:ktaylor@newsargus.com","ktaylor@newsargus.com")</f>
        <v>ktaylor@newsargus.com</v>
      </c>
      <c r="H403" s="2" t="s">
        <v>1282</v>
      </c>
      <c r="I403" s="2" t="s">
        <v>1276</v>
      </c>
      <c r="J403" s="2" t="s">
        <v>1277</v>
      </c>
      <c r="K403" s="2" t="s">
        <v>21</v>
      </c>
      <c r="L403" s="2">
        <v>27532</v>
      </c>
      <c r="M403" s="2" t="s">
        <v>1286</v>
      </c>
    </row>
    <row r="404" spans="1:13" ht="47.25" x14ac:dyDescent="0.25">
      <c r="A404" s="2" t="s">
        <v>1279</v>
      </c>
      <c r="B404" s="2" t="s">
        <v>1292</v>
      </c>
      <c r="C404" s="2" t="s">
        <v>1293</v>
      </c>
      <c r="D404" s="2" t="s">
        <v>117</v>
      </c>
      <c r="E404" s="2" t="s">
        <v>17</v>
      </c>
      <c r="F404" s="2"/>
      <c r="G404" s="3" t="str">
        <f>HYPERLINK("mailto:mharrell@newsargus.com","mharrell@newsargus.com")</f>
        <v>mharrell@newsargus.com</v>
      </c>
      <c r="H404" s="2" t="s">
        <v>1282</v>
      </c>
      <c r="I404" s="2" t="s">
        <v>1276</v>
      </c>
      <c r="J404" s="2" t="s">
        <v>1277</v>
      </c>
      <c r="K404" s="2" t="s">
        <v>21</v>
      </c>
      <c r="L404" s="2">
        <v>27532</v>
      </c>
      <c r="M404" s="2" t="s">
        <v>1286</v>
      </c>
    </row>
    <row r="405" spans="1:13" ht="47.25" x14ac:dyDescent="0.25">
      <c r="A405" s="2" t="s">
        <v>1279</v>
      </c>
      <c r="B405" s="2" t="s">
        <v>1294</v>
      </c>
      <c r="C405" s="2" t="s">
        <v>627</v>
      </c>
      <c r="D405" s="2" t="s">
        <v>1295</v>
      </c>
      <c r="E405" s="2" t="s">
        <v>17</v>
      </c>
      <c r="F405" s="2"/>
      <c r="G405" s="3" t="str">
        <f>HYPERLINK("mailto:rmoore@newsargus.com","rmoore@newsargus.com")</f>
        <v>rmoore@newsargus.com</v>
      </c>
      <c r="H405" s="2" t="s">
        <v>1282</v>
      </c>
      <c r="I405" s="2" t="s">
        <v>1276</v>
      </c>
      <c r="J405" s="2" t="s">
        <v>1277</v>
      </c>
      <c r="K405" s="2" t="s">
        <v>21</v>
      </c>
      <c r="L405" s="2">
        <v>27532</v>
      </c>
      <c r="M405" s="2" t="s">
        <v>1286</v>
      </c>
    </row>
    <row r="406" spans="1:13" ht="63" x14ac:dyDescent="0.25">
      <c r="A406" s="2" t="s">
        <v>1279</v>
      </c>
      <c r="B406" s="2" t="s">
        <v>1296</v>
      </c>
      <c r="C406" s="2" t="s">
        <v>1297</v>
      </c>
      <c r="D406" s="2" t="s">
        <v>33</v>
      </c>
      <c r="E406" s="2" t="s">
        <v>17</v>
      </c>
      <c r="F406" s="3" t="str">
        <f>HYPERLINK("https://twitter.com/PitchfordGNA","@PitchfordGNA")</f>
        <v>@PitchfordGNA</v>
      </c>
      <c r="G406" s="3" t="str">
        <f>HYPERLINK("mailto:jpitchford@newsargus.com","jpitchford@newsargus.com")</f>
        <v>jpitchford@newsargus.com</v>
      </c>
      <c r="H406" s="2" t="s">
        <v>1282</v>
      </c>
      <c r="I406" s="2" t="s">
        <v>1276</v>
      </c>
      <c r="J406" s="2" t="s">
        <v>1277</v>
      </c>
      <c r="K406" s="2" t="s">
        <v>21</v>
      </c>
      <c r="L406" s="2">
        <v>27532</v>
      </c>
      <c r="M406" s="2" t="s">
        <v>1286</v>
      </c>
    </row>
    <row r="407" spans="1:13" ht="47.25" x14ac:dyDescent="0.25">
      <c r="A407" s="2" t="s">
        <v>1279</v>
      </c>
      <c r="B407" s="2" t="s">
        <v>304</v>
      </c>
      <c r="C407" s="2" t="s">
        <v>1298</v>
      </c>
      <c r="D407" s="2" t="s">
        <v>33</v>
      </c>
      <c r="E407" s="2" t="s">
        <v>17</v>
      </c>
      <c r="F407" s="2"/>
      <c r="G407" s="3" t="str">
        <f>HYPERLINK("mailto:sherring@newsargus.com","sherring@newsargus.com")</f>
        <v>sherring@newsargus.com</v>
      </c>
      <c r="H407" s="2" t="s">
        <v>1282</v>
      </c>
      <c r="I407" s="2" t="s">
        <v>1276</v>
      </c>
      <c r="J407" s="2" t="s">
        <v>1277</v>
      </c>
      <c r="K407" s="2" t="s">
        <v>21</v>
      </c>
      <c r="L407" s="2">
        <v>27532</v>
      </c>
      <c r="M407" s="2" t="s">
        <v>1286</v>
      </c>
    </row>
    <row r="408" spans="1:13" ht="78.75" x14ac:dyDescent="0.25">
      <c r="A408" s="2" t="s">
        <v>1279</v>
      </c>
      <c r="B408" s="2" t="s">
        <v>137</v>
      </c>
      <c r="C408" s="2" t="s">
        <v>1299</v>
      </c>
      <c r="D408" s="2" t="s">
        <v>1300</v>
      </c>
      <c r="E408" s="2" t="s">
        <v>17</v>
      </c>
      <c r="F408" s="3" t="str">
        <f>HYPERLINK("https://twitter.com/jhayes_gna","@jhayes_gna")</f>
        <v>@jhayes_gna</v>
      </c>
      <c r="G408" s="3" t="str">
        <f>HYPERLINK("mailto:jhayes@newsargus.com","jhayes@newsargus.com")</f>
        <v>jhayes@newsargus.com</v>
      </c>
      <c r="H408" s="2" t="s">
        <v>1282</v>
      </c>
      <c r="I408" s="2" t="s">
        <v>1276</v>
      </c>
      <c r="J408" s="2" t="s">
        <v>1277</v>
      </c>
      <c r="K408" s="2" t="s">
        <v>21</v>
      </c>
      <c r="L408" s="2">
        <v>27532</v>
      </c>
      <c r="M408" s="2" t="s">
        <v>1286</v>
      </c>
    </row>
    <row r="409" spans="1:13" ht="63" x14ac:dyDescent="0.25">
      <c r="A409" s="2" t="s">
        <v>1279</v>
      </c>
      <c r="B409" s="2" t="s">
        <v>1301</v>
      </c>
      <c r="C409" s="2" t="s">
        <v>627</v>
      </c>
      <c r="D409" s="2" t="s">
        <v>1302</v>
      </c>
      <c r="E409" s="2" t="s">
        <v>17</v>
      </c>
      <c r="F409" s="2"/>
      <c r="G409" s="3" t="str">
        <f>HYPERLINK("mailto:pmoore@newsargus.com","pmoore@newsargus.com")</f>
        <v>pmoore@newsargus.com</v>
      </c>
      <c r="H409" s="2" t="s">
        <v>1282</v>
      </c>
      <c r="I409" s="2" t="s">
        <v>1276</v>
      </c>
      <c r="J409" s="2" t="s">
        <v>1277</v>
      </c>
      <c r="K409" s="2" t="s">
        <v>21</v>
      </c>
      <c r="L409" s="2">
        <v>27532</v>
      </c>
      <c r="M409" s="2" t="s">
        <v>1286</v>
      </c>
    </row>
    <row r="410" spans="1:13" ht="47.25" x14ac:dyDescent="0.25">
      <c r="A410" s="2" t="s">
        <v>1279</v>
      </c>
      <c r="B410" s="7"/>
      <c r="C410" s="7"/>
      <c r="D410" s="2" t="s">
        <v>37</v>
      </c>
      <c r="E410" s="2" t="s">
        <v>17</v>
      </c>
      <c r="F410" s="3" t="str">
        <f>HYPERLINK("https://twitter.com/newsargus","@newsargus")</f>
        <v>@newsargus</v>
      </c>
      <c r="G410" s="3" t="str">
        <f>HYPERLINK("mailto:news@newsargus.com","news@newsargus.com")</f>
        <v>news@newsargus.com</v>
      </c>
      <c r="H410" s="2" t="s">
        <v>1282</v>
      </c>
      <c r="I410" s="2" t="s">
        <v>1276</v>
      </c>
      <c r="J410" s="2" t="s">
        <v>1277</v>
      </c>
      <c r="K410" s="2" t="s">
        <v>21</v>
      </c>
      <c r="L410" s="2">
        <v>27532</v>
      </c>
      <c r="M410" s="2" t="s">
        <v>1286</v>
      </c>
    </row>
    <row r="411" spans="1:13" ht="47.25" x14ac:dyDescent="0.25">
      <c r="A411" s="2" t="s">
        <v>1279</v>
      </c>
      <c r="B411" s="7"/>
      <c r="C411" s="7"/>
      <c r="D411" s="2" t="s">
        <v>38</v>
      </c>
      <c r="E411" s="2" t="s">
        <v>17</v>
      </c>
      <c r="F411" s="3" t="str">
        <f>HYPERLINK("https://twitter.com/newsargus","@newsargus")</f>
        <v>@newsargus</v>
      </c>
      <c r="G411" s="3" t="str">
        <f>HYPERLINK("mailto:dhill@newsargus.com","dhill@newsargus.com")</f>
        <v>dhill@newsargus.com</v>
      </c>
      <c r="H411" s="2" t="s">
        <v>1282</v>
      </c>
      <c r="I411" s="2" t="s">
        <v>1276</v>
      </c>
      <c r="J411" s="2" t="s">
        <v>1277</v>
      </c>
      <c r="K411" s="2" t="s">
        <v>21</v>
      </c>
      <c r="L411" s="2">
        <v>27532</v>
      </c>
      <c r="M411" s="2" t="s">
        <v>1286</v>
      </c>
    </row>
    <row r="412" spans="1:13" ht="47.25" x14ac:dyDescent="0.25">
      <c r="A412" s="2" t="s">
        <v>1303</v>
      </c>
      <c r="B412" s="2" t="s">
        <v>1304</v>
      </c>
      <c r="C412" s="2" t="s">
        <v>1305</v>
      </c>
      <c r="D412" s="2" t="s">
        <v>16</v>
      </c>
      <c r="E412" s="2" t="s">
        <v>17</v>
      </c>
      <c r="F412" s="2"/>
      <c r="G412" s="4" t="str">
        <f>HYPERLINK("mailto:mpd@wilsontimes.com","mpd@wilsontimes.com")</f>
        <v>mpd@wilsontimes.com</v>
      </c>
      <c r="H412" s="2" t="s">
        <v>1306</v>
      </c>
      <c r="I412" s="2" t="s">
        <v>772</v>
      </c>
      <c r="J412" s="2" t="s">
        <v>772</v>
      </c>
      <c r="K412" s="2" t="s">
        <v>21</v>
      </c>
      <c r="L412" s="2">
        <v>27889</v>
      </c>
      <c r="M412" s="2" t="s">
        <v>1307</v>
      </c>
    </row>
    <row r="413" spans="1:13" ht="63" x14ac:dyDescent="0.25">
      <c r="A413" s="2" t="s">
        <v>1303</v>
      </c>
      <c r="B413" s="2" t="s">
        <v>783</v>
      </c>
      <c r="C413" s="2" t="s">
        <v>1308</v>
      </c>
      <c r="D413" s="2" t="s">
        <v>604</v>
      </c>
      <c r="E413" s="2" t="s">
        <v>17</v>
      </c>
      <c r="F413" s="3" t="str">
        <f>HYPERLINK("https://twitter.com/corey_friedman","@corey_friedman")</f>
        <v>@corey_friedman</v>
      </c>
      <c r="G413" s="3" t="str">
        <f>HYPERLINK("mailto:cfriedman@wilsontimes.com","cfriedman@wilsontimes.com")</f>
        <v>cfriedman@wilsontimes.com</v>
      </c>
      <c r="H413" s="2" t="s">
        <v>1306</v>
      </c>
      <c r="I413" s="2" t="s">
        <v>772</v>
      </c>
      <c r="J413" s="2" t="s">
        <v>772</v>
      </c>
      <c r="K413" s="2" t="s">
        <v>21</v>
      </c>
      <c r="L413" s="2">
        <v>27893</v>
      </c>
      <c r="M413" s="2" t="s">
        <v>1309</v>
      </c>
    </row>
    <row r="414" spans="1:13" ht="47.25" x14ac:dyDescent="0.25">
      <c r="A414" s="2" t="s">
        <v>1303</v>
      </c>
      <c r="B414" s="2" t="s">
        <v>125</v>
      </c>
      <c r="C414" s="2" t="s">
        <v>1310</v>
      </c>
      <c r="D414" s="2" t="s">
        <v>1055</v>
      </c>
      <c r="E414" s="2" t="s">
        <v>17</v>
      </c>
      <c r="F414" s="6" t="str">
        <f>HYPERLINK("https://twitter.com/lisabbatts?lang=en","@Lisabbatts")</f>
        <v>@Lisabbatts</v>
      </c>
      <c r="G414" s="3" t="str">
        <f>HYPERLINK("mailto:lisa@wilsontimes.com","lisa@wilsontimes.com")</f>
        <v>lisa@wilsontimes.com</v>
      </c>
      <c r="H414" s="2" t="s">
        <v>1306</v>
      </c>
      <c r="I414" s="2" t="s">
        <v>772</v>
      </c>
      <c r="J414" s="2" t="s">
        <v>772</v>
      </c>
      <c r="K414" s="2" t="s">
        <v>21</v>
      </c>
      <c r="L414" s="2">
        <v>27893</v>
      </c>
      <c r="M414" s="2" t="s">
        <v>1311</v>
      </c>
    </row>
    <row r="415" spans="1:13" ht="47.25" x14ac:dyDescent="0.25">
      <c r="A415" s="2" t="s">
        <v>1303</v>
      </c>
      <c r="B415" s="2" t="s">
        <v>1312</v>
      </c>
      <c r="C415" s="2" t="s">
        <v>1313</v>
      </c>
      <c r="D415" s="2" t="s">
        <v>131</v>
      </c>
      <c r="E415" s="2" t="s">
        <v>17</v>
      </c>
      <c r="F415" s="3" t="str">
        <f>HYPERLINK("https://twitter.com/livie80","@livie80")</f>
        <v>@livie80</v>
      </c>
      <c r="G415" s="3" t="str">
        <f>HYPERLINK("mailto:olivia@wilsontimes.com","olivia@wilsontimes.com")</f>
        <v>olivia@wilsontimes.com</v>
      </c>
      <c r="H415" s="2" t="s">
        <v>1306</v>
      </c>
      <c r="I415" s="2" t="s">
        <v>772</v>
      </c>
      <c r="J415" s="2" t="s">
        <v>772</v>
      </c>
      <c r="K415" s="2" t="s">
        <v>21</v>
      </c>
      <c r="L415" s="2">
        <v>27893</v>
      </c>
      <c r="M415" s="2" t="s">
        <v>1314</v>
      </c>
    </row>
    <row r="416" spans="1:13" ht="63" x14ac:dyDescent="0.25">
      <c r="A416" s="2" t="s">
        <v>1303</v>
      </c>
      <c r="B416" s="2" t="s">
        <v>1315</v>
      </c>
      <c r="C416" s="2" t="s">
        <v>1316</v>
      </c>
      <c r="D416" s="2" t="s">
        <v>33</v>
      </c>
      <c r="E416" s="2" t="s">
        <v>17</v>
      </c>
      <c r="F416" s="3" t="str">
        <f>HYPERLINK("https://twitter.com/BrieHandgraaf","@BrieHandgraaf")</f>
        <v>@BrieHandgraaf</v>
      </c>
      <c r="G416" s="3" t="str">
        <f>HYPERLINK("mailto:bhandgraaf@wilsontimes.com","bhandgraaf@wilsontimes.com")</f>
        <v>bhandgraaf@wilsontimes.com</v>
      </c>
      <c r="H416" s="2" t="s">
        <v>1306</v>
      </c>
      <c r="I416" s="2" t="s">
        <v>772</v>
      </c>
      <c r="J416" s="2" t="s">
        <v>772</v>
      </c>
      <c r="K416" s="2" t="s">
        <v>21</v>
      </c>
      <c r="L416" s="2">
        <v>27893</v>
      </c>
      <c r="M416" s="2" t="s">
        <v>1317</v>
      </c>
    </row>
    <row r="417" spans="1:13" ht="63" x14ac:dyDescent="0.25">
      <c r="A417" s="2" t="s">
        <v>1303</v>
      </c>
      <c r="B417" s="2" t="s">
        <v>861</v>
      </c>
      <c r="C417" s="2" t="s">
        <v>1318</v>
      </c>
      <c r="D417" s="2" t="s">
        <v>33</v>
      </c>
      <c r="E417" s="2" t="s">
        <v>17</v>
      </c>
      <c r="F417" s="2"/>
      <c r="G417" s="3" t="str">
        <f>HYPERLINK("mailto:kpadgett@wilsontimes.com","kpadgett@wilsontimes.com")</f>
        <v>kpadgett@wilsontimes.com</v>
      </c>
      <c r="H417" s="2" t="s">
        <v>1306</v>
      </c>
      <c r="I417" s="2" t="s">
        <v>772</v>
      </c>
      <c r="J417" s="2" t="s">
        <v>772</v>
      </c>
      <c r="K417" s="2" t="s">
        <v>21</v>
      </c>
      <c r="L417" s="2">
        <v>27893</v>
      </c>
      <c r="M417" s="2" t="s">
        <v>1319</v>
      </c>
    </row>
    <row r="418" spans="1:13" ht="63" x14ac:dyDescent="0.25">
      <c r="A418" s="2" t="s">
        <v>1303</v>
      </c>
      <c r="B418" s="2" t="s">
        <v>286</v>
      </c>
      <c r="C418" s="2" t="s">
        <v>772</v>
      </c>
      <c r="D418" s="2" t="s">
        <v>33</v>
      </c>
      <c r="E418" s="2" t="s">
        <v>17</v>
      </c>
      <c r="F418" s="2"/>
      <c r="G418" s="3" t="str">
        <f>HYPERLINK("mailto:dwilson@wilsontimes.com","dwilson@wilsontimes.com")</f>
        <v>dwilson@wilsontimes.com</v>
      </c>
      <c r="H418" s="2" t="s">
        <v>1306</v>
      </c>
      <c r="I418" s="2" t="s">
        <v>772</v>
      </c>
      <c r="J418" s="2" t="s">
        <v>772</v>
      </c>
      <c r="K418" s="2" t="s">
        <v>21</v>
      </c>
      <c r="L418" s="2">
        <v>27893</v>
      </c>
      <c r="M418" s="2" t="s">
        <v>1320</v>
      </c>
    </row>
    <row r="419" spans="1:13" ht="47.25" x14ac:dyDescent="0.25">
      <c r="A419" s="2" t="s">
        <v>1303</v>
      </c>
      <c r="B419" s="7"/>
      <c r="C419" s="7"/>
      <c r="D419" s="2" t="s">
        <v>37</v>
      </c>
      <c r="E419" s="2" t="s">
        <v>17</v>
      </c>
      <c r="F419" s="3" t="str">
        <f>HYPERLINK("https://twitter.com/TheWilsonTimes","@TheWilsonTimes")</f>
        <v>@TheWilsonTimes</v>
      </c>
      <c r="G419" s="3" t="str">
        <f>HYPERLINK("mailto:editor@wilsontimes.com","editor@wilsontimes.com")</f>
        <v>editor@wilsontimes.com</v>
      </c>
      <c r="H419" s="2" t="s">
        <v>1306</v>
      </c>
      <c r="I419" s="2" t="s">
        <v>772</v>
      </c>
      <c r="J419" s="2" t="s">
        <v>772</v>
      </c>
      <c r="K419" s="2" t="s">
        <v>21</v>
      </c>
      <c r="L419" s="2">
        <v>27893</v>
      </c>
      <c r="M419" s="2" t="s">
        <v>1321</v>
      </c>
    </row>
    <row r="420" spans="1:13" ht="47.25" x14ac:dyDescent="0.25">
      <c r="A420" s="2" t="s">
        <v>1303</v>
      </c>
      <c r="B420" s="7"/>
      <c r="C420" s="7"/>
      <c r="D420" s="2" t="s">
        <v>38</v>
      </c>
      <c r="E420" s="2" t="s">
        <v>17</v>
      </c>
      <c r="F420" s="3" t="str">
        <f>HYPERLINK("https://twitter.com/TheWilsonTimes","@TheWilsonTimes")</f>
        <v>@TheWilsonTimes</v>
      </c>
      <c r="G420" s="3" t="str">
        <f>HYPERLINK("mailto:editor@wilsontimes.com","editor@wilsontimes.com")</f>
        <v>editor@wilsontimes.com</v>
      </c>
      <c r="H420" s="2" t="s">
        <v>1306</v>
      </c>
      <c r="I420" s="2" t="s">
        <v>772</v>
      </c>
      <c r="J420" s="2" t="s">
        <v>772</v>
      </c>
      <c r="K420" s="2" t="s">
        <v>21</v>
      </c>
      <c r="L420" s="2">
        <v>27893</v>
      </c>
      <c r="M420" s="2" t="s">
        <v>1322</v>
      </c>
    </row>
    <row r="421" spans="1:13" ht="47.25" x14ac:dyDescent="0.25">
      <c r="A421" s="2" t="s">
        <v>1323</v>
      </c>
      <c r="B421" s="5" t="s">
        <v>111</v>
      </c>
      <c r="C421" s="5" t="s">
        <v>112</v>
      </c>
      <c r="D421" s="5" t="s">
        <v>1324</v>
      </c>
      <c r="E421" s="2" t="s">
        <v>100</v>
      </c>
      <c r="F421" s="6" t="str">
        <f>HYPERLINK("https://twitter.com/ludkmr","@ludkmr")</f>
        <v>@ludkmr</v>
      </c>
      <c r="G421" s="6" t="str">
        <f>HYPERLINK("mailto:kmr@rossalmanc.com","kmr@rossalmanc.com")</f>
        <v>kmr@rossalmanc.com</v>
      </c>
      <c r="H421" s="5" t="s">
        <v>1325</v>
      </c>
      <c r="I421" s="5"/>
      <c r="J421" s="5"/>
      <c r="K421" s="5"/>
      <c r="L421" s="5"/>
      <c r="M421" s="5"/>
    </row>
    <row r="422" spans="1:13" ht="63" x14ac:dyDescent="0.25">
      <c r="A422" s="2" t="s">
        <v>1010</v>
      </c>
      <c r="B422" s="2" t="s">
        <v>337</v>
      </c>
      <c r="C422" s="2" t="s">
        <v>1326</v>
      </c>
      <c r="D422" s="2" t="s">
        <v>597</v>
      </c>
      <c r="E422" s="2"/>
      <c r="F422" s="2"/>
      <c r="G422" s="4" t="s">
        <v>1327</v>
      </c>
      <c r="H422" s="2"/>
      <c r="I422" s="2"/>
      <c r="J422" s="2"/>
      <c r="K422" s="2"/>
      <c r="L422" s="2"/>
      <c r="M422" s="2"/>
    </row>
    <row r="423" spans="1:13" ht="47.25" x14ac:dyDescent="0.25">
      <c r="A423" s="2" t="s">
        <v>902</v>
      </c>
      <c r="B423" s="2" t="s">
        <v>1328</v>
      </c>
      <c r="C423" s="2" t="s">
        <v>1329</v>
      </c>
      <c r="D423" s="2" t="s">
        <v>1055</v>
      </c>
      <c r="E423" s="2" t="s">
        <v>17</v>
      </c>
      <c r="F423" s="2"/>
      <c r="G423" s="2" t="s">
        <v>1330</v>
      </c>
      <c r="H423" s="7"/>
      <c r="I423" s="7"/>
      <c r="J423" s="7"/>
      <c r="K423" s="7"/>
      <c r="L423" s="7"/>
      <c r="M423" s="7"/>
    </row>
    <row r="424" spans="1:13" ht="94.5" x14ac:dyDescent="0.25">
      <c r="A424" s="2" t="s">
        <v>1331</v>
      </c>
      <c r="B424" s="2" t="s">
        <v>224</v>
      </c>
      <c r="C424" s="2" t="s">
        <v>1332</v>
      </c>
      <c r="D424" s="2" t="s">
        <v>1333</v>
      </c>
      <c r="E424" s="2" t="s">
        <v>614</v>
      </c>
      <c r="F424" s="4" t="str">
        <f>HYPERLINK("https://twitter.com/D220","@FrancoOrdonez")</f>
        <v>@FrancoOrdonez</v>
      </c>
      <c r="G424" s="3" t="str">
        <f>HYPERLINK("mailto:fordonez@mcclatchydc.com","fordonez@mcclatchydc.com")</f>
        <v>fordonez@mcclatchydc.com</v>
      </c>
      <c r="H424" s="2" t="s">
        <v>1334</v>
      </c>
      <c r="I424" s="2" t="s">
        <v>43</v>
      </c>
      <c r="J424" s="7"/>
      <c r="K424" s="2" t="s">
        <v>1335</v>
      </c>
      <c r="L424" s="2">
        <v>20005</v>
      </c>
      <c r="M424" s="2" t="s">
        <v>1336</v>
      </c>
    </row>
    <row r="425" spans="1:13" ht="110.25" x14ac:dyDescent="0.25">
      <c r="A425" s="2" t="s">
        <v>1337</v>
      </c>
      <c r="B425" s="7"/>
      <c r="C425" s="7"/>
      <c r="D425" s="7"/>
      <c r="E425" s="2" t="s">
        <v>614</v>
      </c>
      <c r="F425" s="10"/>
      <c r="G425" s="3" t="str">
        <f>HYPERLINK("mailto:ncns@publicnewsservice.org","ncns@publicnewsservice.org")</f>
        <v>ncns@publicnewsservice.org</v>
      </c>
      <c r="H425" s="7"/>
      <c r="I425" s="7"/>
      <c r="J425" s="7"/>
      <c r="K425" s="2" t="s">
        <v>21</v>
      </c>
      <c r="L425" s="7"/>
      <c r="M425" s="2" t="s">
        <v>1338</v>
      </c>
    </row>
    <row r="426" spans="1:13" ht="78.75" x14ac:dyDescent="0.25">
      <c r="A426" s="2" t="s">
        <v>1339</v>
      </c>
      <c r="B426" s="5" t="s">
        <v>1340</v>
      </c>
      <c r="C426" s="5" t="s">
        <v>1341</v>
      </c>
      <c r="D426" s="2" t="s">
        <v>1342</v>
      </c>
      <c r="E426" s="2" t="s">
        <v>614</v>
      </c>
      <c r="F426" s="14"/>
      <c r="G426" s="3" t="str">
        <f>HYPERLINK("mailto:lark@publicnewsservice.org","lark@publicnewsservice.org")</f>
        <v>lark@publicnewsservice.org</v>
      </c>
      <c r="H426" s="2" t="s">
        <v>1343</v>
      </c>
      <c r="I426" s="2" t="s">
        <v>1344</v>
      </c>
      <c r="J426" s="7"/>
      <c r="K426" s="2" t="s">
        <v>1345</v>
      </c>
      <c r="L426" s="2">
        <v>80304</v>
      </c>
      <c r="M426" s="2" t="s">
        <v>1346</v>
      </c>
    </row>
    <row r="427" spans="1:13" ht="47.25" x14ac:dyDescent="0.25">
      <c r="A427" s="2" t="s">
        <v>1347</v>
      </c>
      <c r="B427" s="2" t="s">
        <v>1348</v>
      </c>
      <c r="C427" s="2" t="s">
        <v>338</v>
      </c>
      <c r="D427" s="2"/>
      <c r="E427" s="2" t="s">
        <v>614</v>
      </c>
      <c r="F427" s="3" t="str">
        <f>HYPERLINK("https://twitter.com/colleenjenk","@colleenjenk")</f>
        <v>@colleenjenk</v>
      </c>
      <c r="G427" s="5" t="s">
        <v>1349</v>
      </c>
      <c r="H427" s="2"/>
      <c r="I427" s="2" t="s">
        <v>1350</v>
      </c>
      <c r="J427" s="7"/>
      <c r="K427" s="2"/>
      <c r="L427" s="2"/>
      <c r="M427" s="2"/>
    </row>
    <row r="428" spans="1:13" ht="47.25" x14ac:dyDescent="0.25">
      <c r="A428" s="2" t="s">
        <v>1351</v>
      </c>
      <c r="B428" s="7"/>
      <c r="C428" s="7"/>
      <c r="D428" s="2" t="s">
        <v>1352</v>
      </c>
      <c r="E428" s="2" t="s">
        <v>614</v>
      </c>
      <c r="F428" s="14"/>
      <c r="G428" s="6" t="str">
        <f>HYPERLINK("mailto:editor@stateline.org","editor@stateline.org")</f>
        <v>editor@stateline.org</v>
      </c>
      <c r="H428" s="2" t="s">
        <v>1353</v>
      </c>
      <c r="I428" s="2" t="s">
        <v>43</v>
      </c>
      <c r="J428" s="7"/>
      <c r="K428" s="2" t="s">
        <v>1335</v>
      </c>
      <c r="L428" s="2">
        <v>20004</v>
      </c>
      <c r="M428" s="2" t="s">
        <v>1354</v>
      </c>
    </row>
    <row r="429" spans="1:13" ht="63" x14ac:dyDescent="0.25">
      <c r="A429" s="2" t="s">
        <v>1347</v>
      </c>
      <c r="B429" s="2" t="s">
        <v>1355</v>
      </c>
      <c r="C429" s="2" t="s">
        <v>1356</v>
      </c>
      <c r="D429" s="2"/>
      <c r="E429" s="2" t="s">
        <v>614</v>
      </c>
      <c r="F429" s="3" t="str">
        <f>HYPERLINK("https://twitter.com/LetitiaStein","@LetitiaStein")</f>
        <v>@LetitiaStein</v>
      </c>
      <c r="G429" s="3" t="str">
        <f>HYPERLINK("mailto:letitia.stein@thomsonreuters.com","letitia.stein@thomsonreuters.com")</f>
        <v>letitia.stein@thomsonreuters.com</v>
      </c>
      <c r="H429" s="7"/>
      <c r="I429" s="2" t="s">
        <v>1357</v>
      </c>
      <c r="J429" s="7"/>
      <c r="K429" s="7" t="s">
        <v>1358</v>
      </c>
      <c r="L429" s="7"/>
      <c r="M429" s="2" t="s">
        <v>1359</v>
      </c>
    </row>
  </sheetData>
  <hyperlinks>
    <hyperlink ref="G330" r:id="rId1"/>
    <hyperlink ref="G280" r:id="rId2"/>
    <hyperlink ref="G281" r:id="rId3"/>
    <hyperlink ref="G217" r:id="rId4"/>
    <hyperlink ref="G422" r:id="rId5"/>
    <hyperlink ref="G314" r:id="rId6"/>
    <hyperlink ref="G161" r:id="rId7"/>
    <hyperlink ref="G260" r:id="rId8"/>
    <hyperlink ref="G67" r:id="rId9"/>
  </hyperlinks>
  <pageMargins left="0.7" right="0.7" top="0.75" bottom="0.75" header="0.3" footer="0.3"/>
  <pageSetup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2018-04-15T00:40:20Z</dcterms:created>
  <dcterms:modified xsi:type="dcterms:W3CDTF">2018-04-15T00:44:59Z</dcterms:modified>
</cp:coreProperties>
</file>